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J:\sdilene\RE-START\Zpráva o realizaci\ZoR 2022\"/>
    </mc:Choice>
  </mc:AlternateContent>
  <xr:revisionPtr revIDLastSave="0" documentId="13_ncr:1_{C1A4393C-93A7-40FC-A1B9-998119B4A23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OUHRN" sheetId="2" r:id="rId1"/>
  </sheets>
  <externalReferences>
    <externalReference r:id="rId2"/>
    <externalReference r:id="rId3"/>
    <externalReference r:id="rId4"/>
  </externalReferences>
  <definedNames>
    <definedName name="_xlnm._FilterDatabase" localSheetId="0" hidden="1">SOUHRN!$A$3:$X$49</definedName>
    <definedName name="_xlnm.Print_Area" localSheetId="0">SOUHRN!$A$1:$X$49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2" l="1"/>
  <c r="H49" i="2" s="1"/>
  <c r="D48" i="2"/>
  <c r="H48" i="2" s="1"/>
  <c r="D47" i="2"/>
  <c r="H47" i="2" s="1"/>
  <c r="H46" i="2"/>
  <c r="H45" i="2"/>
  <c r="H44" i="2"/>
  <c r="H43" i="2"/>
  <c r="H42" i="2"/>
  <c r="D41" i="2"/>
  <c r="C41" i="2"/>
  <c r="H41" i="2" s="1"/>
  <c r="H40" i="2"/>
  <c r="F40" i="2"/>
  <c r="D39" i="2"/>
  <c r="C39" i="2"/>
  <c r="G38" i="2"/>
  <c r="F38" i="2"/>
  <c r="E38" i="2"/>
  <c r="C38" i="2"/>
  <c r="D37" i="2"/>
  <c r="H37" i="2" s="1"/>
  <c r="D36" i="2"/>
  <c r="H36" i="2" s="1"/>
  <c r="H35" i="2"/>
  <c r="D35" i="2"/>
  <c r="H34" i="2"/>
  <c r="D33" i="2"/>
  <c r="H33" i="2" s="1"/>
  <c r="X30" i="2"/>
  <c r="V30" i="2"/>
  <c r="T30" i="2"/>
  <c r="G30" i="2"/>
  <c r="C30" i="2" s="1"/>
  <c r="H29" i="2"/>
  <c r="D29" i="2"/>
  <c r="S28" i="2"/>
  <c r="P28" i="2"/>
  <c r="O28" i="2"/>
  <c r="K28" i="2"/>
  <c r="J28" i="2"/>
  <c r="G28" i="2"/>
  <c r="C28" i="2" s="1"/>
  <c r="F28" i="2"/>
  <c r="E28" i="2"/>
  <c r="X27" i="2"/>
  <c r="Q27" i="2"/>
  <c r="N27" i="2"/>
  <c r="M27" i="2"/>
  <c r="K27" i="2"/>
  <c r="I27" i="2"/>
  <c r="H27" i="2"/>
  <c r="G26" i="2"/>
  <c r="C26" i="2" s="1"/>
  <c r="F26" i="2"/>
  <c r="E26" i="2"/>
  <c r="T25" i="2"/>
  <c r="G25" i="2"/>
  <c r="C25" i="2" s="1"/>
  <c r="D25" i="2"/>
  <c r="U24" i="2"/>
  <c r="R24" i="2"/>
  <c r="J24" i="2"/>
  <c r="G24" i="2"/>
  <c r="C24" i="2" s="1"/>
  <c r="F24" i="2"/>
  <c r="E24" i="2"/>
  <c r="P23" i="2"/>
  <c r="I23" i="2"/>
  <c r="F23" i="2"/>
  <c r="E23" i="2"/>
  <c r="C23" i="2"/>
  <c r="X22" i="2"/>
  <c r="W22" i="2"/>
  <c r="V22" i="2"/>
  <c r="U22" i="2"/>
  <c r="T22" i="2"/>
  <c r="O22" i="2"/>
  <c r="L22" i="2"/>
  <c r="K22" i="2"/>
  <c r="J22" i="2"/>
  <c r="I22" i="2"/>
  <c r="G22" i="2"/>
  <c r="C22" i="2" s="1"/>
  <c r="E22" i="2"/>
  <c r="D22" i="2" s="1"/>
  <c r="H21" i="2"/>
  <c r="D21" i="2"/>
  <c r="C21" i="2"/>
  <c r="G20" i="2"/>
  <c r="E20" i="2"/>
  <c r="D20" i="2" s="1"/>
  <c r="V19" i="2"/>
  <c r="T19" i="2"/>
  <c r="M19" i="2"/>
  <c r="G19" i="2"/>
  <c r="C19" i="2" s="1"/>
  <c r="E19" i="2"/>
  <c r="D19" i="2" s="1"/>
  <c r="V18" i="2"/>
  <c r="T18" i="2"/>
  <c r="M18" i="2"/>
  <c r="K18" i="2"/>
  <c r="G18" i="2"/>
  <c r="C18" i="2" s="1"/>
  <c r="E18" i="2"/>
  <c r="D18" i="2" s="1"/>
  <c r="E17" i="2"/>
  <c r="D17" i="2" s="1"/>
  <c r="C17" i="2"/>
  <c r="X16" i="2"/>
  <c r="V16" i="2"/>
  <c r="U16" i="2"/>
  <c r="T16" i="2"/>
  <c r="S16" i="2"/>
  <c r="R16" i="2"/>
  <c r="Q16" i="2"/>
  <c r="O16" i="2"/>
  <c r="N16" i="2"/>
  <c r="L16" i="2"/>
  <c r="K16" i="2"/>
  <c r="J16" i="2"/>
  <c r="I16" i="2"/>
  <c r="F16" i="2"/>
  <c r="E16" i="2"/>
  <c r="V15" i="2"/>
  <c r="M15" i="2"/>
  <c r="L15" i="2"/>
  <c r="G15" i="2"/>
  <c r="C15" i="2" s="1"/>
  <c r="E15" i="2"/>
  <c r="D15" i="2" s="1"/>
  <c r="R14" i="2"/>
  <c r="Q14" i="2"/>
  <c r="O14" i="2"/>
  <c r="L14" i="2"/>
  <c r="I14" i="2"/>
  <c r="F14" i="2"/>
  <c r="E14" i="2"/>
  <c r="C14" i="2"/>
  <c r="O13" i="2"/>
  <c r="E13" i="2"/>
  <c r="D13" i="2" s="1"/>
  <c r="C13" i="2"/>
  <c r="W12" i="2"/>
  <c r="U12" i="2"/>
  <c r="R12" i="2"/>
  <c r="Q12" i="2"/>
  <c r="P12" i="2"/>
  <c r="M12" i="2"/>
  <c r="L12" i="2"/>
  <c r="I12" i="2"/>
  <c r="G12" i="2"/>
  <c r="C12" i="2" s="1"/>
  <c r="F12" i="2"/>
  <c r="E12" i="2"/>
  <c r="W11" i="2"/>
  <c r="U11" i="2"/>
  <c r="S11" i="2"/>
  <c r="O11" i="2"/>
  <c r="L11" i="2"/>
  <c r="K11" i="2"/>
  <c r="J11" i="2"/>
  <c r="I11" i="2"/>
  <c r="G11" i="2"/>
  <c r="C11" i="2" s="1"/>
  <c r="E11" i="2"/>
  <c r="D11" i="2" s="1"/>
  <c r="W10" i="2"/>
  <c r="S10" i="2"/>
  <c r="O10" i="2"/>
  <c r="K10" i="2"/>
  <c r="J10" i="2"/>
  <c r="I10" i="2"/>
  <c r="G10" i="2"/>
  <c r="C10" i="2" s="1"/>
  <c r="E10" i="2"/>
  <c r="D10" i="2" s="1"/>
  <c r="W9" i="2"/>
  <c r="U9" i="2"/>
  <c r="R9" i="2"/>
  <c r="P9" i="2"/>
  <c r="N9" i="2"/>
  <c r="K9" i="2"/>
  <c r="J9" i="2"/>
  <c r="I9" i="2"/>
  <c r="G9" i="2"/>
  <c r="F9" i="2"/>
  <c r="E9" i="2"/>
  <c r="C9" i="2"/>
  <c r="D8" i="2"/>
  <c r="E8" i="2" s="1"/>
  <c r="D7" i="2"/>
  <c r="F7" i="2" s="1"/>
  <c r="C7" i="2"/>
  <c r="M6" i="2"/>
  <c r="J6" i="2"/>
  <c r="I6" i="2"/>
  <c r="C6" i="2"/>
  <c r="L5" i="2"/>
  <c r="J5" i="2"/>
  <c r="I5" i="2"/>
  <c r="E5" i="2"/>
  <c r="H5" i="2" s="1"/>
  <c r="C5" i="2"/>
  <c r="Q4" i="2"/>
  <c r="J4" i="2"/>
  <c r="I4" i="2"/>
  <c r="F4" i="2"/>
  <c r="E4" i="2"/>
  <c r="C4" i="2"/>
  <c r="D38" i="2" l="1"/>
  <c r="R1" i="2"/>
  <c r="D23" i="2"/>
  <c r="D14" i="2"/>
  <c r="O1" i="2"/>
  <c r="D16" i="2"/>
  <c r="H24" i="2"/>
  <c r="H25" i="2"/>
  <c r="P1" i="2"/>
  <c r="W1" i="2"/>
  <c r="K1" i="2"/>
  <c r="U1" i="2"/>
  <c r="M1" i="2"/>
  <c r="H13" i="2"/>
  <c r="H23" i="2"/>
  <c r="G1" i="2"/>
  <c r="J1" i="2"/>
  <c r="N1" i="2"/>
  <c r="X1" i="2"/>
  <c r="D24" i="2"/>
  <c r="H38" i="2"/>
  <c r="S1" i="2"/>
  <c r="T1" i="2"/>
  <c r="H22" i="2"/>
  <c r="H26" i="2"/>
  <c r="D4" i="2"/>
  <c r="E6" i="2"/>
  <c r="H6" i="2" s="1"/>
  <c r="H9" i="2"/>
  <c r="H11" i="2"/>
  <c r="V1" i="2"/>
  <c r="D26" i="2"/>
  <c r="H14" i="2"/>
  <c r="H19" i="2"/>
  <c r="H28" i="2"/>
  <c r="H30" i="2"/>
  <c r="I1" i="2"/>
  <c r="D5" i="2"/>
  <c r="F8" i="2"/>
  <c r="F1" i="2" s="1"/>
  <c r="H10" i="2"/>
  <c r="H12" i="2"/>
  <c r="Q1" i="2"/>
  <c r="L1" i="2"/>
  <c r="H17" i="2"/>
  <c r="E7" i="2"/>
  <c r="H7" i="2" s="1"/>
  <c r="C20" i="2"/>
  <c r="C1" i="2" s="1"/>
  <c r="H20" i="2"/>
  <c r="H4" i="2"/>
  <c r="D9" i="2"/>
  <c r="H15" i="2"/>
  <c r="H16" i="2"/>
  <c r="H18" i="2"/>
  <c r="D12" i="2"/>
  <c r="D28" i="2"/>
  <c r="D6" i="2" l="1"/>
  <c r="D1" i="2" s="1"/>
  <c r="E1" i="2"/>
  <c r="H8" i="2"/>
  <c r="H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Langhammerová Andrea</author>
    <author>Pilná Alena</author>
  </authors>
  <commentList>
    <comment ref="B42" authorId="0" shapeId="0" xr:uid="{E9124B30-3857-4D2F-B80E-87C86990C840}">
      <text>
        <r>
          <rPr>
            <b/>
            <sz val="9"/>
            <color indexed="81"/>
            <rFont val="Tahoma"/>
            <family val="2"/>
            <charset val="238"/>
          </rPr>
          <t>Langhammerová Andrea:</t>
        </r>
        <r>
          <rPr>
            <sz val="9"/>
            <color indexed="81"/>
            <rFont val="Tahoma"/>
            <family val="2"/>
            <charset val="238"/>
          </rPr>
          <t xml:space="preserve">
bylo rozděleno 51,6 mil. Kč; pro Severozápad 13,9 mil., pro Moravskoslezsko 41,2</t>
        </r>
      </text>
    </comment>
    <comment ref="B45" authorId="1" shapeId="0" xr:uid="{0FB2E2E3-61EA-4517-BEAD-739877EEA38B}">
      <text>
        <r>
          <rPr>
            <b/>
            <sz val="9"/>
            <color indexed="81"/>
            <rFont val="Tahoma"/>
            <family val="2"/>
            <charset val="238"/>
          </rPr>
          <t>Pilná Alena:</t>
        </r>
        <r>
          <rPr>
            <sz val="9"/>
            <color indexed="81"/>
            <rFont val="Tahoma"/>
            <family val="2"/>
            <charset val="238"/>
          </rPr>
          <t xml:space="preserve">
obce do 3 000 obyvatel, 117D8210l</t>
        </r>
      </text>
    </comment>
    <comment ref="B46" authorId="1" shapeId="0" xr:uid="{60308FD8-67CB-4CB9-BF2F-D55970592103}">
      <text>
        <r>
          <rPr>
            <b/>
            <sz val="9"/>
            <color indexed="81"/>
            <rFont val="Tahoma"/>
            <family val="2"/>
            <charset val="238"/>
          </rPr>
          <t>Pilná Alena:</t>
        </r>
        <r>
          <rPr>
            <sz val="9"/>
            <color indexed="81"/>
            <rFont val="Tahoma"/>
            <family val="2"/>
            <charset val="238"/>
          </rPr>
          <t xml:space="preserve">
117</t>
        </r>
      </text>
    </comment>
    <comment ref="B47" authorId="0" shapeId="0" xr:uid="{E022EAC0-0C32-4014-A338-5CD9CBF0AA71}">
      <text>
        <r>
          <rPr>
            <b/>
            <sz val="9"/>
            <color indexed="81"/>
            <rFont val="Tahoma"/>
            <family val="2"/>
            <charset val="238"/>
          </rPr>
          <t>Langhammerová Andrea:</t>
        </r>
        <r>
          <rPr>
            <sz val="9"/>
            <color indexed="81"/>
            <rFont val="Tahoma"/>
            <family val="2"/>
            <charset val="238"/>
          </rPr>
          <t xml:space="preserve">
67 mil. Kč čerpáno na projekty v KVK z navýšených 18 ekomld.</t>
        </r>
      </text>
    </comment>
  </commentList>
</comments>
</file>

<file path=xl/sharedStrings.xml><?xml version="1.0" encoding="utf-8"?>
<sst xmlns="http://schemas.openxmlformats.org/spreadsheetml/2006/main" count="77" uniqueCount="66">
  <si>
    <t>NUTS II</t>
  </si>
  <si>
    <t>Kraj</t>
  </si>
  <si>
    <t>Celkem</t>
  </si>
  <si>
    <t>Okres</t>
  </si>
  <si>
    <t>Dotační program</t>
  </si>
  <si>
    <t>Rok schválení</t>
  </si>
  <si>
    <t>NUTS II Severozápad</t>
  </si>
  <si>
    <t>Ústecký</t>
  </si>
  <si>
    <t>Karlovarský</t>
  </si>
  <si>
    <t>Moravskoslezský</t>
  </si>
  <si>
    <t>Přidělená dotace v Kč</t>
  </si>
  <si>
    <t>Most</t>
  </si>
  <si>
    <t>Chomutov</t>
  </si>
  <si>
    <t>Děčín</t>
  </si>
  <si>
    <t>Teplice</t>
  </si>
  <si>
    <t>Ústí nad Labem</t>
  </si>
  <si>
    <t>Louny</t>
  </si>
  <si>
    <t>Litoměřice</t>
  </si>
  <si>
    <t>Cheb</t>
  </si>
  <si>
    <t>Karlovy Vary</t>
  </si>
  <si>
    <t>Sokolov</t>
  </si>
  <si>
    <t>Bruntál</t>
  </si>
  <si>
    <t>Opava</t>
  </si>
  <si>
    <t>Nový Jičín</t>
  </si>
  <si>
    <t>Ostrava-město</t>
  </si>
  <si>
    <t>Karviná</t>
  </si>
  <si>
    <t>Frýdek Místek</t>
  </si>
  <si>
    <t>Revitalizace KH - PRV</t>
  </si>
  <si>
    <t>Revitalizace KH - NV 30/2014</t>
  </si>
  <si>
    <t>Demolice budov v sociálně vyloučených lokalitách</t>
  </si>
  <si>
    <t>Regenerace a podnikatelské využití brownfieldů - Výzva I.</t>
  </si>
  <si>
    <t>Regenerace a podnikatelské využití brownfieldů - Výzva II.</t>
  </si>
  <si>
    <t>Regenerace a podnikatelské využití brownfieldů - Výzva III.</t>
  </si>
  <si>
    <t>OP ŽP - Snížit emise stacionárních zdrojů podílející se na expozici obyvatelstva nadlimitním koncentracím znečišťujících látek v uhelných regionech</t>
  </si>
  <si>
    <t>Studie a analýzy</t>
  </si>
  <si>
    <t>OP VVV pro VŠ - ESF výzva</t>
  </si>
  <si>
    <t>OP VVV pro VŠ - ERDF výzva</t>
  </si>
  <si>
    <t>EPSILON</t>
  </si>
  <si>
    <t>ETA</t>
  </si>
  <si>
    <t>Realokace - IROP 31. zvýšení kvality návazné péče</t>
  </si>
  <si>
    <t>Realokace - IROP 20. Nízkoemisní a bezemisní vozidla</t>
  </si>
  <si>
    <t>Realokace - IROP 47. Infrastruktura základních škol (SVL)</t>
  </si>
  <si>
    <t>Realokace - 46. Infrastruktura základních škol</t>
  </si>
  <si>
    <t>OP ŽP - Kotlíkové dotace + bezúročné půjčky</t>
  </si>
  <si>
    <t>OP Z - výzva č. 90 Specifická výzva na vybrané cílové skupiny IP 1.1</t>
  </si>
  <si>
    <t>Regenerace brownfieldů pro nepodnikatelské využití</t>
  </si>
  <si>
    <t>SFDI - Podkrušnohorská výsypka</t>
  </si>
  <si>
    <t>IROP - 89. Nízkoemisní a bezemisní vozidla pro uhelné regiony</t>
  </si>
  <si>
    <t>IROP - 93. Nízkoemisní a bezemisní vozidla pro uhelné regiony II</t>
  </si>
  <si>
    <t>NEMOVITOSTI - V. Výzva – Uhelné regiony</t>
  </si>
  <si>
    <t>92. Výzva IROP - Infrastruktura základních škol pro uhelné regiony</t>
  </si>
  <si>
    <t>Regenerace a podnikatelské využití brownfieldů – Výzva IV.</t>
  </si>
  <si>
    <t>Program Brownfieldy MMR, SFPI</t>
  </si>
  <si>
    <t>Regenerace a podnikatelské využití brownfieldů - Výzva V.</t>
  </si>
  <si>
    <t>60 000 00</t>
  </si>
  <si>
    <t>Studie a analýzy spec. BF</t>
  </si>
  <si>
    <r>
      <t>Théta 4.VS</t>
    </r>
    <r>
      <rPr>
        <sz val="11"/>
        <color theme="1"/>
        <rFont val="Calibri"/>
        <family val="2"/>
        <scheme val="minor"/>
      </rPr>
      <t xml:space="preserve"> </t>
    </r>
  </si>
  <si>
    <t>ÉTA - TL05</t>
  </si>
  <si>
    <t>Podpora bydlení/Technická infrastruktura</t>
  </si>
  <si>
    <t>Podpora rozvoje a obnovy venkova</t>
  </si>
  <si>
    <t>Podpora obcí s 3 001-10 000 obyvateli</t>
  </si>
  <si>
    <t>3 ekomiliardy nad rámec 15 ekomiliard pro ÚK a KVK</t>
  </si>
  <si>
    <t>Regenerace brownfieldů pro podnikatelské využití - NPO</t>
  </si>
  <si>
    <t>Příloha č. 3</t>
  </si>
  <si>
    <t>Pracovní verze</t>
  </si>
  <si>
    <t>NUTS II Moravskoslezsko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</si>
</sst>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Alignment="1">
      <alignment wrapText="1"/>
    </xf>
    <xf numFmtId="0" fontId="2" fillId="0" borderId="0" xfId="1"/>
    <xf numFmtId="3" fontId="2" fillId="0" borderId="0" xfId="1" applyNumberFormat="1"/>
    <xf numFmtId="3" fontId="3" fillId="2" borderId="1" xfId="1" applyNumberFormat="1" applyFont="1" applyFill="1" applyBorder="1"/>
    <xf numFmtId="3" fontId="3" fillId="0" borderId="2" xfId="1" applyNumberFormat="1" applyFont="1" applyBorder="1"/>
    <xf numFmtId="0" fontId="3" fillId="2" borderId="7" xfId="1" applyFont="1" applyFill="1" applyBorder="1" applyAlignment="1">
      <alignment horizontal="center"/>
    </xf>
    <xf numFmtId="0" fontId="3" fillId="2" borderId="8" xfId="1" applyFont="1" applyFill="1" applyBorder="1"/>
    <xf numFmtId="0" fontId="3" fillId="2" borderId="9" xfId="1" applyFont="1" applyFill="1" applyBorder="1" applyAlignment="1">
      <alignment wrapText="1"/>
    </xf>
    <xf numFmtId="0" fontId="3" fillId="2" borderId="6" xfId="1" applyFont="1" applyFill="1" applyBorder="1" applyAlignment="1">
      <alignment wrapText="1"/>
    </xf>
    <xf numFmtId="0" fontId="3" fillId="2" borderId="6" xfId="1" applyFont="1" applyFill="1" applyBorder="1"/>
    <xf numFmtId="0" fontId="3" fillId="3" borderId="6" xfId="1" applyFont="1" applyFill="1" applyBorder="1"/>
    <xf numFmtId="0" fontId="3" fillId="3" borderId="6" xfId="1" applyFont="1" applyFill="1" applyBorder="1" applyAlignment="1">
      <alignment wrapText="1"/>
    </xf>
    <xf numFmtId="0" fontId="3" fillId="4" borderId="6" xfId="1" applyFont="1" applyFill="1" applyBorder="1"/>
    <xf numFmtId="0" fontId="3" fillId="4" borderId="7" xfId="1" applyFont="1" applyFill="1" applyBorder="1"/>
    <xf numFmtId="0" fontId="2" fillId="0" borderId="10" xfId="1" applyBorder="1" applyAlignment="1">
      <alignment wrapText="1"/>
    </xf>
    <xf numFmtId="0" fontId="2" fillId="0" borderId="10" xfId="1" applyBorder="1"/>
    <xf numFmtId="3" fontId="2" fillId="0" borderId="10" xfId="1" applyNumberFormat="1" applyBorder="1"/>
    <xf numFmtId="3" fontId="2" fillId="0" borderId="2" xfId="1" applyNumberFormat="1" applyBorder="1"/>
    <xf numFmtId="3" fontId="2" fillId="3" borderId="10" xfId="1" applyNumberFormat="1" applyFill="1" applyBorder="1"/>
    <xf numFmtId="0" fontId="2" fillId="3" borderId="10" xfId="1" applyFill="1" applyBorder="1"/>
    <xf numFmtId="0" fontId="2" fillId="4" borderId="10" xfId="1" applyFill="1" applyBorder="1"/>
    <xf numFmtId="0" fontId="2" fillId="0" borderId="2" xfId="1" applyBorder="1" applyAlignment="1">
      <alignment wrapText="1"/>
    </xf>
    <xf numFmtId="0" fontId="2" fillId="0" borderId="2" xfId="1" applyBorder="1"/>
    <xf numFmtId="3" fontId="2" fillId="3" borderId="2" xfId="1" applyNumberFormat="1" applyFill="1" applyBorder="1"/>
    <xf numFmtId="0" fontId="2" fillId="3" borderId="2" xfId="1" applyFill="1" applyBorder="1"/>
    <xf numFmtId="0" fontId="2" fillId="4" borderId="2" xfId="1" applyFill="1" applyBorder="1"/>
    <xf numFmtId="3" fontId="2" fillId="4" borderId="2" xfId="1" applyNumberFormat="1" applyFill="1" applyBorder="1"/>
    <xf numFmtId="4" fontId="2" fillId="0" borderId="0" xfId="1" applyNumberFormat="1"/>
    <xf numFmtId="3" fontId="2" fillId="0" borderId="2" xfId="1" applyNumberFormat="1" applyBorder="1" applyAlignment="1">
      <alignment wrapText="1"/>
    </xf>
    <xf numFmtId="3" fontId="2" fillId="3" borderId="2" xfId="1" applyNumberFormat="1" applyFill="1" applyBorder="1" applyAlignment="1">
      <alignment horizontal="right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1" fillId="0" borderId="0" xfId="1" applyFont="1" applyAlignment="1">
      <alignment wrapText="1"/>
    </xf>
    <xf numFmtId="0" fontId="6" fillId="5" borderId="2" xfId="1" applyFont="1" applyFill="1" applyBorder="1" applyAlignment="1">
      <alignment wrapText="1"/>
    </xf>
    <xf numFmtId="0" fontId="6" fillId="5" borderId="2" xfId="1" applyFont="1" applyFill="1" applyBorder="1"/>
    <xf numFmtId="3" fontId="6" fillId="5" borderId="2" xfId="1" applyNumberFormat="1" applyFont="1" applyFill="1" applyBorder="1"/>
  </cellXfs>
  <cellStyles count="3">
    <cellStyle name="Normální" xfId="0" builtinId="0"/>
    <cellStyle name="Normální 2" xfId="1" xr:uid="{40EAAD89-773A-4940-98EC-FF74E198E626}"/>
    <cellStyle name="Procenta 2" xfId="2" xr:uid="{F6DD3CB7-0B86-43E9-8A59-3E5E11EB9C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ilene/RE-START/P&#345;ehled%20&#269;erp&#225;n&#237;%20RESTART/&#268;erp&#225;n&#237;%20program&#367;%20RE_START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elen\AppData\Local\Microsoft\Windows\INetCache\Content.Outlook\JR1TKU79\MONIKA-%20&#268;erp&#225;n&#237;%20program&#367;%20RE_START%202020_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umil\Documents\!!!SR%20a%20AP\!!2018\AP1\!!!Hodnocen&#237;%20realizace%20%20AP1\!!!Dotace%20-%20&#269;erp&#225;n&#237;\TA&#268;R\RESTART_ETA_EPSILON_190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"/>
      <sheetName val="Tvorba studií a analýz BF"/>
      <sheetName val="OP Z"/>
      <sheetName val="OP ŽP - 136. výzva"/>
      <sheetName val="Ekomiliardy"/>
      <sheetName val="MMR - BF"/>
      <sheetName val="Realokace IROP"/>
      <sheetName val="IROP výzva č. 89"/>
      <sheetName val="Revitalizace BF"/>
      <sheetName val="IROP výzva č. 93"/>
      <sheetName val="Nemovitosti V. výzva"/>
      <sheetName val="IROP 92. výzva"/>
      <sheetName val="Studie a analýzy"/>
      <sheetName val="List2"/>
      <sheetName val="OP VVV"/>
      <sheetName val="Revitalizace KH"/>
      <sheetName val="Demolice_SVL"/>
      <sheetName val="OP ŽP Kotlíkové dotace"/>
      <sheetName val="MPO-BF pod. I.-V.výzva"/>
      <sheetName val="pozn"/>
      <sheetName val="F.1.5"/>
      <sheetName val="Podpora bydlení"/>
      <sheetName val="BF MPO 2021"/>
      <sheetName val="Demolice"/>
      <sheetName val="MPO_BF podn."/>
      <sheetName val="THÉTA-TK04"/>
      <sheetName val="ÉTA-TL05"/>
      <sheetName val="ŽP_5.VS"/>
      <sheetName val="Doprava_3.VS"/>
      <sheetName val="TREND_4.VS"/>
      <sheetName val="Podpora obnovy venkova_1_2022"/>
      <sheetName val="Podp. o. venkova obce nad 3ti"/>
      <sheetName val="Demolice_2022"/>
    </sheetNames>
    <sheetDataSet>
      <sheetData sheetId="0"/>
      <sheetData sheetId="1"/>
      <sheetData sheetId="2">
        <row r="6">
          <cell r="F6">
            <v>5623800</v>
          </cell>
        </row>
        <row r="7">
          <cell r="F7">
            <v>9550592.5</v>
          </cell>
        </row>
        <row r="9">
          <cell r="F9">
            <v>8190985.0599999996</v>
          </cell>
        </row>
        <row r="11">
          <cell r="F11">
            <v>6753046.25</v>
          </cell>
        </row>
        <row r="12">
          <cell r="F12">
            <v>7065127.5</v>
          </cell>
        </row>
        <row r="14">
          <cell r="F14">
            <v>8061932.5</v>
          </cell>
        </row>
        <row r="17">
          <cell r="F17">
            <v>7139237.5</v>
          </cell>
        </row>
        <row r="20">
          <cell r="F20">
            <v>4994875</v>
          </cell>
        </row>
        <row r="21">
          <cell r="F21">
            <v>5914897.5</v>
          </cell>
        </row>
        <row r="22">
          <cell r="F22">
            <v>6144750</v>
          </cell>
        </row>
        <row r="23">
          <cell r="F23">
            <v>5134100</v>
          </cell>
        </row>
        <row r="32">
          <cell r="F32">
            <v>8901025</v>
          </cell>
        </row>
        <row r="35">
          <cell r="F35">
            <v>4308500</v>
          </cell>
        </row>
        <row r="38">
          <cell r="F38">
            <v>5552380</v>
          </cell>
        </row>
      </sheetData>
      <sheetData sheetId="3">
        <row r="5">
          <cell r="H5">
            <v>5113784.5</v>
          </cell>
        </row>
        <row r="9">
          <cell r="H9">
            <v>54011313.399999999</v>
          </cell>
        </row>
        <row r="10">
          <cell r="H10">
            <v>5776100</v>
          </cell>
        </row>
        <row r="27">
          <cell r="H27">
            <v>4170000</v>
          </cell>
        </row>
        <row r="28">
          <cell r="H28">
            <v>4331250</v>
          </cell>
        </row>
        <row r="34">
          <cell r="H34">
            <v>3477500</v>
          </cell>
        </row>
        <row r="36">
          <cell r="H36">
            <v>4413750</v>
          </cell>
        </row>
        <row r="44">
          <cell r="H44">
            <v>3365150</v>
          </cell>
        </row>
        <row r="45">
          <cell r="H45">
            <v>2966250</v>
          </cell>
        </row>
        <row r="50">
          <cell r="H50">
            <v>5992000</v>
          </cell>
        </row>
        <row r="51">
          <cell r="H51">
            <v>3847500</v>
          </cell>
        </row>
        <row r="53">
          <cell r="H53">
            <v>5002250</v>
          </cell>
        </row>
        <row r="54">
          <cell r="H54">
            <v>2295000</v>
          </cell>
        </row>
        <row r="55">
          <cell r="H55">
            <v>3370500</v>
          </cell>
        </row>
        <row r="56">
          <cell r="H56">
            <v>3852000</v>
          </cell>
        </row>
        <row r="57">
          <cell r="H57">
            <v>2295150</v>
          </cell>
        </row>
        <row r="58">
          <cell r="H58">
            <v>4413750</v>
          </cell>
        </row>
        <row r="60">
          <cell r="H60">
            <v>71529476.400000006</v>
          </cell>
        </row>
      </sheetData>
      <sheetData sheetId="4"/>
      <sheetData sheetId="5">
        <row r="3">
          <cell r="M3">
            <v>14661877.299999999</v>
          </cell>
        </row>
        <row r="5">
          <cell r="M5">
            <v>2443139</v>
          </cell>
        </row>
        <row r="6">
          <cell r="M6">
            <v>4437099.5</v>
          </cell>
        </row>
        <row r="7">
          <cell r="M7">
            <v>11434008</v>
          </cell>
        </row>
        <row r="8">
          <cell r="M8">
            <v>30000000</v>
          </cell>
        </row>
      </sheetData>
      <sheetData sheetId="6">
        <row r="5">
          <cell r="H5">
            <v>84057231</v>
          </cell>
        </row>
        <row r="6">
          <cell r="H6">
            <v>84099000</v>
          </cell>
        </row>
        <row r="8">
          <cell r="H8">
            <v>83835500</v>
          </cell>
        </row>
        <row r="9">
          <cell r="H9">
            <v>84150000</v>
          </cell>
        </row>
        <row r="10">
          <cell r="H10">
            <v>84111750</v>
          </cell>
        </row>
        <row r="19">
          <cell r="H19">
            <v>81795500</v>
          </cell>
        </row>
        <row r="20">
          <cell r="H20">
            <v>68199750</v>
          </cell>
        </row>
        <row r="21">
          <cell r="H21">
            <v>6133136.75</v>
          </cell>
        </row>
        <row r="23">
          <cell r="H23">
            <v>28000000</v>
          </cell>
        </row>
      </sheetData>
      <sheetData sheetId="7"/>
      <sheetData sheetId="8"/>
      <sheetData sheetId="9"/>
      <sheetData sheetId="10"/>
      <sheetData sheetId="11"/>
      <sheetData sheetId="12">
        <row r="2">
          <cell r="C2">
            <v>2150000</v>
          </cell>
        </row>
      </sheetData>
      <sheetData sheetId="13"/>
      <sheetData sheetId="14">
        <row r="4">
          <cell r="J4">
            <v>697388176</v>
          </cell>
        </row>
        <row r="5">
          <cell r="J5">
            <v>106123419.01000001</v>
          </cell>
        </row>
        <row r="6">
          <cell r="J6">
            <v>45622772.079999998</v>
          </cell>
        </row>
        <row r="9">
          <cell r="J9">
            <v>6158919.9000000004</v>
          </cell>
        </row>
        <row r="15">
          <cell r="J15">
            <v>0</v>
          </cell>
        </row>
      </sheetData>
      <sheetData sheetId="15">
        <row r="3">
          <cell r="I3">
            <v>1537457</v>
          </cell>
        </row>
        <row r="4">
          <cell r="I4">
            <v>1056394</v>
          </cell>
        </row>
        <row r="5">
          <cell r="I5">
            <v>2141384</v>
          </cell>
        </row>
        <row r="6">
          <cell r="I6">
            <v>11963530</v>
          </cell>
        </row>
        <row r="7">
          <cell r="I7">
            <v>6995849</v>
          </cell>
        </row>
        <row r="8">
          <cell r="I8">
            <v>2741991</v>
          </cell>
        </row>
        <row r="9">
          <cell r="I9">
            <v>1535738</v>
          </cell>
        </row>
        <row r="10">
          <cell r="I10">
            <v>1691200</v>
          </cell>
        </row>
        <row r="11">
          <cell r="I11">
            <v>8748552</v>
          </cell>
        </row>
        <row r="12">
          <cell r="I12">
            <v>1516767</v>
          </cell>
        </row>
        <row r="13">
          <cell r="I13">
            <v>3899355</v>
          </cell>
        </row>
        <row r="14">
          <cell r="I14">
            <v>6493311</v>
          </cell>
        </row>
        <row r="15">
          <cell r="I15">
            <v>29890102</v>
          </cell>
        </row>
        <row r="16">
          <cell r="I16">
            <v>4803747</v>
          </cell>
        </row>
        <row r="17">
          <cell r="I17">
            <v>20482873</v>
          </cell>
        </row>
        <row r="18">
          <cell r="I18">
            <v>29763715</v>
          </cell>
        </row>
        <row r="19">
          <cell r="I19">
            <v>15200000</v>
          </cell>
        </row>
        <row r="20">
          <cell r="I20">
            <v>44400000</v>
          </cell>
        </row>
        <row r="21">
          <cell r="I21">
            <v>300000</v>
          </cell>
        </row>
        <row r="22">
          <cell r="I22">
            <v>1778034</v>
          </cell>
        </row>
        <row r="23">
          <cell r="I23">
            <v>2166830</v>
          </cell>
        </row>
        <row r="24">
          <cell r="I24">
            <v>2941449</v>
          </cell>
        </row>
        <row r="25">
          <cell r="I25">
            <v>19602309</v>
          </cell>
        </row>
        <row r="26">
          <cell r="I26">
            <v>12252900</v>
          </cell>
        </row>
        <row r="27">
          <cell r="I27">
            <v>20185256</v>
          </cell>
        </row>
        <row r="28">
          <cell r="I28">
            <v>25570393</v>
          </cell>
        </row>
        <row r="29">
          <cell r="I29">
            <v>38365377</v>
          </cell>
        </row>
        <row r="30">
          <cell r="I30">
            <v>15500000</v>
          </cell>
        </row>
        <row r="31">
          <cell r="I31">
            <v>40700000</v>
          </cell>
        </row>
        <row r="32">
          <cell r="I32">
            <v>300000</v>
          </cell>
        </row>
      </sheetData>
      <sheetData sheetId="16">
        <row r="3">
          <cell r="H3">
            <v>5000000</v>
          </cell>
        </row>
        <row r="4">
          <cell r="H4">
            <v>2105210</v>
          </cell>
        </row>
        <row r="5">
          <cell r="H5">
            <v>3398753</v>
          </cell>
        </row>
        <row r="6">
          <cell r="H6">
            <v>2555512</v>
          </cell>
        </row>
        <row r="10">
          <cell r="H10">
            <v>1332340</v>
          </cell>
        </row>
        <row r="11">
          <cell r="H11">
            <v>3594477</v>
          </cell>
        </row>
        <row r="12">
          <cell r="H12">
            <v>5000000</v>
          </cell>
        </row>
        <row r="13">
          <cell r="H13">
            <v>5000000</v>
          </cell>
        </row>
        <row r="14">
          <cell r="H14">
            <v>3236376</v>
          </cell>
        </row>
        <row r="15">
          <cell r="H15">
            <v>5000000</v>
          </cell>
        </row>
        <row r="16">
          <cell r="H16">
            <v>5000000</v>
          </cell>
        </row>
        <row r="17">
          <cell r="H17">
            <v>2245987</v>
          </cell>
        </row>
        <row r="18">
          <cell r="H18">
            <v>5000000</v>
          </cell>
        </row>
        <row r="19">
          <cell r="H19">
            <v>655660</v>
          </cell>
        </row>
        <row r="20">
          <cell r="H20">
            <v>5000000</v>
          </cell>
        </row>
        <row r="21">
          <cell r="H21">
            <v>5000000</v>
          </cell>
        </row>
        <row r="25">
          <cell r="H25">
            <v>3740179</v>
          </cell>
        </row>
        <row r="26">
          <cell r="H26">
            <v>4921600</v>
          </cell>
        </row>
        <row r="27">
          <cell r="H27">
            <v>5164988</v>
          </cell>
        </row>
        <row r="28">
          <cell r="H28">
            <v>7420174</v>
          </cell>
        </row>
        <row r="29">
          <cell r="H29">
            <v>3114097</v>
          </cell>
        </row>
        <row r="30">
          <cell r="H30">
            <v>6069534</v>
          </cell>
        </row>
        <row r="31">
          <cell r="H31">
            <v>1168546</v>
          </cell>
        </row>
        <row r="32">
          <cell r="H32">
            <v>5601047</v>
          </cell>
        </row>
        <row r="38">
          <cell r="H38">
            <v>1017232</v>
          </cell>
        </row>
        <row r="39">
          <cell r="H39">
            <v>5077203</v>
          </cell>
        </row>
        <row r="40">
          <cell r="H40">
            <v>1478065</v>
          </cell>
        </row>
        <row r="41">
          <cell r="H41">
            <v>1846727</v>
          </cell>
        </row>
        <row r="44">
          <cell r="H44">
            <v>10000000</v>
          </cell>
        </row>
        <row r="45">
          <cell r="H45">
            <v>1635412</v>
          </cell>
        </row>
        <row r="46">
          <cell r="H46">
            <v>5000000</v>
          </cell>
        </row>
        <row r="47">
          <cell r="H47">
            <v>5000000</v>
          </cell>
        </row>
      </sheetData>
      <sheetData sheetId="17">
        <row r="4">
          <cell r="H4">
            <v>337738589</v>
          </cell>
        </row>
        <row r="5">
          <cell r="H5">
            <v>139709544</v>
          </cell>
        </row>
      </sheetData>
      <sheetData sheetId="18">
        <row r="3">
          <cell r="J3">
            <v>11475000</v>
          </cell>
        </row>
        <row r="4">
          <cell r="J4">
            <v>19179555</v>
          </cell>
        </row>
        <row r="9">
          <cell r="J9">
            <v>10294500</v>
          </cell>
        </row>
        <row r="10">
          <cell r="J10">
            <v>20158656</v>
          </cell>
        </row>
        <row r="13">
          <cell r="J13">
            <v>9437345</v>
          </cell>
        </row>
        <row r="16">
          <cell r="J16">
            <v>18854116</v>
          </cell>
        </row>
        <row r="20">
          <cell r="J20">
            <v>14460235</v>
          </cell>
        </row>
        <row r="31">
          <cell r="J31">
            <v>19567540</v>
          </cell>
        </row>
        <row r="34">
          <cell r="J34">
            <v>41614777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"/>
      <sheetName val="OP Z"/>
      <sheetName val="OP ŽP - 136. výzva"/>
      <sheetName val="MMR - BF"/>
      <sheetName val="Realokace IROP"/>
      <sheetName val="IROP výzva č. 89"/>
      <sheetName val="IROP výzva č. 93"/>
      <sheetName val="Nemovitosti V. výzva"/>
      <sheetName val="IROP 92. výzva"/>
      <sheetName val="Studie a analýzy"/>
      <sheetName val="List2"/>
      <sheetName val="OP VVV"/>
      <sheetName val="Revitalizace KH"/>
      <sheetName val="Demolice_SVL"/>
      <sheetName val="OP ŽP Kotlíkové dotace"/>
      <sheetName val="MPO - BF"/>
      <sheetName val="pozn"/>
      <sheetName val="F.1.5"/>
    </sheetNames>
    <sheetDataSet>
      <sheetData sheetId="0" refreshError="1"/>
      <sheetData sheetId="1" refreshError="1">
        <row r="3">
          <cell r="D3">
            <v>43299988.75</v>
          </cell>
        </row>
        <row r="18">
          <cell r="F18">
            <v>3463175</v>
          </cell>
        </row>
        <row r="24">
          <cell r="F24">
            <v>4164450</v>
          </cell>
        </row>
        <row r="29">
          <cell r="F29">
            <v>3539490</v>
          </cell>
        </row>
        <row r="38">
          <cell r="F38">
            <v>4947575</v>
          </cell>
        </row>
      </sheetData>
      <sheetData sheetId="2" refreshError="1">
        <row r="3">
          <cell r="H3">
            <v>11760100</v>
          </cell>
        </row>
        <row r="4">
          <cell r="H4">
            <v>97595300</v>
          </cell>
        </row>
        <row r="6">
          <cell r="H6">
            <v>191701735.5</v>
          </cell>
        </row>
        <row r="7">
          <cell r="H7">
            <v>119417013.09999999</v>
          </cell>
        </row>
        <row r="8">
          <cell r="H8">
            <v>51286054.950000003</v>
          </cell>
        </row>
        <row r="11">
          <cell r="H11">
            <v>1156680</v>
          </cell>
        </row>
        <row r="12">
          <cell r="H12">
            <v>28749600</v>
          </cell>
        </row>
        <row r="13">
          <cell r="H13">
            <v>241641647.5</v>
          </cell>
        </row>
        <row r="14">
          <cell r="H14">
            <v>9296100</v>
          </cell>
        </row>
        <row r="15">
          <cell r="H15">
            <v>386386.8</v>
          </cell>
        </row>
        <row r="25">
          <cell r="H25">
            <v>4868500</v>
          </cell>
        </row>
        <row r="26">
          <cell r="H26">
            <v>6018750</v>
          </cell>
        </row>
        <row r="29">
          <cell r="H29">
            <v>4413750</v>
          </cell>
        </row>
        <row r="30">
          <cell r="H30">
            <v>4868500</v>
          </cell>
        </row>
        <row r="31">
          <cell r="H31">
            <v>4622400</v>
          </cell>
        </row>
        <row r="32">
          <cell r="H32">
            <v>5992000</v>
          </cell>
        </row>
        <row r="33">
          <cell r="H33">
            <v>2434250</v>
          </cell>
        </row>
        <row r="35">
          <cell r="H35">
            <v>5617500</v>
          </cell>
        </row>
        <row r="37">
          <cell r="H37">
            <v>3819900</v>
          </cell>
        </row>
        <row r="38">
          <cell r="H38">
            <v>5778000</v>
          </cell>
        </row>
        <row r="39">
          <cell r="H39">
            <v>5296500</v>
          </cell>
        </row>
        <row r="40">
          <cell r="H40">
            <v>6018750</v>
          </cell>
        </row>
        <row r="41">
          <cell r="H41">
            <v>6018750</v>
          </cell>
        </row>
        <row r="42">
          <cell r="H42">
            <v>6018750</v>
          </cell>
        </row>
        <row r="43">
          <cell r="H43">
            <v>4815000</v>
          </cell>
        </row>
        <row r="46">
          <cell r="H46">
            <v>4708000</v>
          </cell>
        </row>
        <row r="48">
          <cell r="H48">
            <v>2910400</v>
          </cell>
        </row>
        <row r="49">
          <cell r="H49">
            <v>5216250</v>
          </cell>
        </row>
        <row r="52">
          <cell r="H52">
            <v>6018750</v>
          </cell>
        </row>
        <row r="59">
          <cell r="H59">
            <v>2295000</v>
          </cell>
        </row>
      </sheetData>
      <sheetData sheetId="3" refreshError="1">
        <row r="4">
          <cell r="L4">
            <v>2388532</v>
          </cell>
        </row>
      </sheetData>
      <sheetData sheetId="4" refreshError="1">
        <row r="7">
          <cell r="H7">
            <v>23448384.75</v>
          </cell>
        </row>
        <row r="11">
          <cell r="H11">
            <v>19048500</v>
          </cell>
        </row>
        <row r="12">
          <cell r="H12">
            <v>9775850</v>
          </cell>
        </row>
        <row r="13">
          <cell r="H13">
            <v>24511257.050000001</v>
          </cell>
        </row>
        <row r="14">
          <cell r="H14">
            <v>25508500</v>
          </cell>
        </row>
        <row r="15">
          <cell r="H15">
            <v>63151938.299999997</v>
          </cell>
        </row>
        <row r="16">
          <cell r="H16">
            <v>62384894.899999999</v>
          </cell>
        </row>
        <row r="17">
          <cell r="H17">
            <v>73334182.650000006</v>
          </cell>
        </row>
        <row r="18">
          <cell r="H18">
            <v>66671539.25</v>
          </cell>
        </row>
        <row r="22">
          <cell r="H22">
            <v>6701527.5499999998</v>
          </cell>
        </row>
        <row r="24">
          <cell r="H24">
            <v>3460103.5</v>
          </cell>
        </row>
      </sheetData>
      <sheetData sheetId="5" refreshError="1">
        <row r="5">
          <cell r="H5">
            <v>79623750</v>
          </cell>
        </row>
        <row r="6">
          <cell r="H6">
            <v>139229575</v>
          </cell>
        </row>
        <row r="7">
          <cell r="H7">
            <v>161847930.5</v>
          </cell>
        </row>
        <row r="8">
          <cell r="H8">
            <v>161847930.5</v>
          </cell>
        </row>
        <row r="9">
          <cell r="H9">
            <v>81727500</v>
          </cell>
        </row>
        <row r="10">
          <cell r="H10">
            <v>84947725</v>
          </cell>
        </row>
        <row r="11">
          <cell r="H11">
            <v>91747300</v>
          </cell>
        </row>
        <row r="12">
          <cell r="H12">
            <v>139229575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7">
          <cell r="J7">
            <v>142327527.78999999</v>
          </cell>
        </row>
        <row r="8">
          <cell r="J8">
            <v>18969010.899999999</v>
          </cell>
        </row>
        <row r="13">
          <cell r="J13">
            <v>84730391.760000005</v>
          </cell>
        </row>
        <row r="14">
          <cell r="J14">
            <v>41769977.380000003</v>
          </cell>
        </row>
        <row r="17">
          <cell r="J17">
            <v>22537502.260000002</v>
          </cell>
        </row>
        <row r="18">
          <cell r="J18">
            <v>357789245.30000001</v>
          </cell>
        </row>
        <row r="19">
          <cell r="J19">
            <v>645878816.29999995</v>
          </cell>
        </row>
      </sheetData>
      <sheetData sheetId="12" refreshError="1"/>
      <sheetData sheetId="13" refreshError="1">
        <row r="7">
          <cell r="H7">
            <v>2218689</v>
          </cell>
        </row>
        <row r="8">
          <cell r="H8">
            <v>4912446</v>
          </cell>
        </row>
        <row r="9">
          <cell r="H9">
            <v>5000000</v>
          </cell>
        </row>
        <row r="22">
          <cell r="H22">
            <v>2333701</v>
          </cell>
        </row>
        <row r="23">
          <cell r="H23">
            <v>1283401</v>
          </cell>
        </row>
        <row r="24">
          <cell r="H24">
            <v>5000000</v>
          </cell>
        </row>
        <row r="33">
          <cell r="H33">
            <v>2025018</v>
          </cell>
        </row>
        <row r="34">
          <cell r="H34">
            <v>469624</v>
          </cell>
        </row>
        <row r="35">
          <cell r="H35">
            <v>861905</v>
          </cell>
        </row>
        <row r="36">
          <cell r="H36">
            <v>1600000</v>
          </cell>
        </row>
        <row r="37">
          <cell r="H37">
            <v>8400000</v>
          </cell>
        </row>
        <row r="42">
          <cell r="H42">
            <v>2278162</v>
          </cell>
        </row>
        <row r="43">
          <cell r="H43">
            <v>552334</v>
          </cell>
        </row>
      </sheetData>
      <sheetData sheetId="14" refreshError="1">
        <row r="3">
          <cell r="H3">
            <v>1000000000</v>
          </cell>
        </row>
      </sheetData>
      <sheetData sheetId="15" refreshError="1">
        <row r="30">
          <cell r="J30">
            <v>2565775</v>
          </cell>
        </row>
      </sheetData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ka"/>
    </sheetNames>
    <sheetDataSet>
      <sheetData sheetId="0" refreshError="1">
        <row r="20">
          <cell r="E20">
            <v>5862386</v>
          </cell>
        </row>
        <row r="45">
          <cell r="D45">
            <v>82655233</v>
          </cell>
        </row>
        <row r="55">
          <cell r="D55">
            <v>19602540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91315-81C8-49D3-BA4F-2A92F854E7CA}">
  <dimension ref="A1:X49"/>
  <sheetViews>
    <sheetView tabSelected="1" view="pageBreakPreview" zoomScale="80" zoomScaleNormal="100" zoomScaleSheetLayoutView="80" workbookViewId="0">
      <pane xSplit="4" ySplit="3" topLeftCell="E4" activePane="bottomRight" state="frozen"/>
      <selection pane="topRight" activeCell="F1" sqref="F1"/>
      <selection pane="bottomLeft" activeCell="A4" sqref="A4"/>
      <selection pane="bottomRight" activeCell="A26" sqref="A26"/>
    </sheetView>
  </sheetViews>
  <sheetFormatPr defaultRowHeight="14.4" x14ac:dyDescent="0.3"/>
  <cols>
    <col min="1" max="1" width="27" style="1" customWidth="1"/>
    <col min="2" max="2" width="9.33203125" style="2" customWidth="1"/>
    <col min="3" max="4" width="16.21875" style="2" customWidth="1"/>
    <col min="5" max="5" width="13.5546875" style="2" customWidth="1"/>
    <col min="6" max="6" width="14" style="2" customWidth="1"/>
    <col min="7" max="7" width="16.21875" style="2" customWidth="1"/>
    <col min="8" max="8" width="17.5546875" style="2" customWidth="1"/>
    <col min="9" max="9" width="11.109375" style="2" bestFit="1" customWidth="1"/>
    <col min="10" max="10" width="11.44140625" style="2" customWidth="1"/>
    <col min="11" max="11" width="11.109375" style="2" bestFit="1" customWidth="1"/>
    <col min="12" max="12" width="11.21875" style="2" customWidth="1"/>
    <col min="13" max="13" width="14.21875" style="2" customWidth="1"/>
    <col min="14" max="14" width="12" style="2" customWidth="1"/>
    <col min="15" max="15" width="12.77734375" style="2" bestFit="1" customWidth="1"/>
    <col min="16" max="16" width="11.109375" style="2" bestFit="1" customWidth="1"/>
    <col min="17" max="17" width="14.21875" style="2" bestFit="1" customWidth="1"/>
    <col min="18" max="18" width="12.109375" style="2" customWidth="1"/>
    <col min="19" max="19" width="11.21875" style="2" customWidth="1"/>
    <col min="20" max="20" width="11.33203125" style="2" customWidth="1"/>
    <col min="21" max="21" width="12.21875" style="2" bestFit="1" customWidth="1"/>
    <col min="22" max="22" width="16.44140625" style="2" bestFit="1" customWidth="1"/>
    <col min="23" max="23" width="11.109375" style="2" bestFit="1" customWidth="1"/>
    <col min="24" max="24" width="15.77734375" style="2" customWidth="1"/>
    <col min="25" max="16384" width="8.88671875" style="2"/>
  </cols>
  <sheetData>
    <row r="1" spans="1:24" ht="15" thickBot="1" x14ac:dyDescent="0.35">
      <c r="A1" s="1" t="s">
        <v>63</v>
      </c>
      <c r="C1" s="4">
        <f>SUM(C4:C25)+C27+C28+C29+C30+C31+C32+C33+C34+C35+C36+C37+C38+C39+C40+C41+C42+C43+C45+C46+C44+C49</f>
        <v>5041510445.6400003</v>
      </c>
      <c r="D1" s="4">
        <f>SUM(D4:D25)+D27+D28+D29+D30+D31+D32+D33+D34+D35+D36+D37+D38+D39+D40+D41+D42+D43+D45+D46+D44+D48+D47+D49</f>
        <v>5256425490.8400002</v>
      </c>
      <c r="E1" s="4">
        <f>SUM(E4:E25)+E27+E28+E29+E30+E31+E32+E33+E34+E35+E36+E37+E38+E39+E40+E41+E42+E43+E45+E46+E44+E48</f>
        <v>3372282115.3899999</v>
      </c>
      <c r="F1" s="4">
        <f>SUM(F4:F25)+F27+F28+F29+F30+F31+F32+F33+F34+F35+F36+F37+F38+F39+F41+F42+F43+F45+F46+F44+F47+F49</f>
        <v>1884143375.45</v>
      </c>
      <c r="G1" s="4">
        <f>SUM(G4:G25)+G27+G28+G29+G30+G31+G32+G33+G34+G35+G36+G37+G38+G39+G40+G41+G42+G43+G45+G46+G44+G49</f>
        <v>5041510445.6400003</v>
      </c>
      <c r="H1" s="4">
        <f>SUM(H4:H25)+H27+H28+H29+H30+H31+H32+H33+H35+H36+H37+H38+H34+ H39+H40+H41+H42+H43+H44+H45+H46+H47+H48+H49</f>
        <v>10297935936.48</v>
      </c>
      <c r="I1" s="5">
        <f>SUM(I4:I49)</f>
        <v>557914803.5</v>
      </c>
      <c r="J1" s="5">
        <f>SUM(J4:J49)</f>
        <v>420080782.5</v>
      </c>
      <c r="K1" s="5">
        <f>SUM(K4:K49)</f>
        <v>290097791.39999998</v>
      </c>
      <c r="L1" s="5">
        <f>SUM(L4:L49)</f>
        <v>438219638.89999998</v>
      </c>
      <c r="M1" s="5">
        <f>SUM(M4:M49)</f>
        <v>1005815770.15</v>
      </c>
      <c r="N1" s="5">
        <f>SUM(N4:N49)</f>
        <v>143093908</v>
      </c>
      <c r="O1" s="5">
        <f>SUM(O4:O49)</f>
        <v>331697979</v>
      </c>
      <c r="P1" s="5">
        <f>SUM(P4:P49)</f>
        <v>421726265.30000001</v>
      </c>
      <c r="Q1" s="5">
        <f>SUM(Q4:Q49)</f>
        <v>204802032.33520001</v>
      </c>
      <c r="R1" s="5">
        <f>SUM(R4:R49)</f>
        <v>465244933.14999998</v>
      </c>
      <c r="S1" s="5">
        <f>SUM(S4:S49)</f>
        <v>136090518.80000001</v>
      </c>
      <c r="T1" s="5">
        <f>SUM(T4:T49)</f>
        <v>563346934.38999999</v>
      </c>
      <c r="U1" s="5">
        <f>SUM(U4:U49)</f>
        <v>248392202.84999999</v>
      </c>
      <c r="V1" s="5">
        <f>SUM(V4:V49)</f>
        <v>2598916707.4499998</v>
      </c>
      <c r="W1" s="5">
        <f>SUM(W4:W49)</f>
        <v>292572478</v>
      </c>
      <c r="X1" s="5">
        <f>SUM(X4:X49)</f>
        <v>1035097241</v>
      </c>
    </row>
    <row r="2" spans="1:24" ht="15" thickBot="1" x14ac:dyDescent="0.35">
      <c r="A2" s="35" t="s">
        <v>64</v>
      </c>
      <c r="C2" s="31" t="s">
        <v>0</v>
      </c>
      <c r="D2" s="32"/>
      <c r="E2" s="33" t="s">
        <v>1</v>
      </c>
      <c r="F2" s="34"/>
      <c r="G2" s="34"/>
      <c r="H2" s="6" t="s">
        <v>2</v>
      </c>
      <c r="I2" s="7" t="s">
        <v>3</v>
      </c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spans="1:24" ht="29.25" customHeight="1" thickBot="1" x14ac:dyDescent="0.35">
      <c r="A3" s="8" t="s">
        <v>4</v>
      </c>
      <c r="B3" s="9" t="s">
        <v>5</v>
      </c>
      <c r="C3" s="9" t="s">
        <v>65</v>
      </c>
      <c r="D3" s="9" t="s">
        <v>6</v>
      </c>
      <c r="E3" s="10" t="s">
        <v>7</v>
      </c>
      <c r="F3" s="10" t="s">
        <v>8</v>
      </c>
      <c r="G3" s="10" t="s">
        <v>9</v>
      </c>
      <c r="H3" s="9" t="s">
        <v>10</v>
      </c>
      <c r="I3" s="11" t="s">
        <v>11</v>
      </c>
      <c r="J3" s="11" t="s">
        <v>12</v>
      </c>
      <c r="K3" s="11" t="s">
        <v>13</v>
      </c>
      <c r="L3" s="11" t="s">
        <v>14</v>
      </c>
      <c r="M3" s="12" t="s">
        <v>15</v>
      </c>
      <c r="N3" s="11" t="s">
        <v>16</v>
      </c>
      <c r="O3" s="11" t="s">
        <v>17</v>
      </c>
      <c r="P3" s="10" t="s">
        <v>18</v>
      </c>
      <c r="Q3" s="10" t="s">
        <v>19</v>
      </c>
      <c r="R3" s="10" t="s">
        <v>20</v>
      </c>
      <c r="S3" s="13" t="s">
        <v>21</v>
      </c>
      <c r="T3" s="13" t="s">
        <v>22</v>
      </c>
      <c r="U3" s="13" t="s">
        <v>23</v>
      </c>
      <c r="V3" s="13" t="s">
        <v>24</v>
      </c>
      <c r="W3" s="13" t="s">
        <v>25</v>
      </c>
      <c r="X3" s="14" t="s">
        <v>26</v>
      </c>
    </row>
    <row r="4" spans="1:24" x14ac:dyDescent="0.3">
      <c r="A4" s="15" t="s">
        <v>27</v>
      </c>
      <c r="B4" s="16">
        <v>2017</v>
      </c>
      <c r="C4" s="17">
        <f>G4</f>
        <v>0</v>
      </c>
      <c r="D4" s="17">
        <f>E4+F4</f>
        <v>26436605</v>
      </c>
      <c r="E4" s="17">
        <f>'[1]Revitalizace KH'!I3+'[1]Revitalizace KH'!I5+'[1]Revitalizace KH'!I6+'[1]Revitalizace KH'!I7+'[1]Revitalizace KH'!I8</f>
        <v>25380211</v>
      </c>
      <c r="F4" s="17">
        <f>'[1]Revitalizace KH'!I4</f>
        <v>1056394</v>
      </c>
      <c r="G4" s="16"/>
      <c r="H4" s="18">
        <f t="shared" ref="H4:H18" si="0">SUM(E4:G4)</f>
        <v>26436605</v>
      </c>
      <c r="I4" s="19">
        <f>'[1]Revitalizace KH'!I6+'[1]Revitalizace KH'!I8</f>
        <v>14705521</v>
      </c>
      <c r="J4" s="19">
        <f>'[1]Revitalizace KH'!I3+'[1]Revitalizace KH'!I5+'[1]Revitalizace KH'!I7</f>
        <v>10674690</v>
      </c>
      <c r="K4" s="20"/>
      <c r="L4" s="20"/>
      <c r="M4" s="20"/>
      <c r="N4" s="20"/>
      <c r="O4" s="20"/>
      <c r="P4" s="16"/>
      <c r="Q4" s="17">
        <f>'[1]Revitalizace KH'!I4</f>
        <v>1056394</v>
      </c>
      <c r="R4" s="16"/>
      <c r="S4" s="21"/>
      <c r="T4" s="21"/>
      <c r="U4" s="21"/>
      <c r="V4" s="21"/>
      <c r="W4" s="21"/>
      <c r="X4" s="21"/>
    </row>
    <row r="5" spans="1:24" x14ac:dyDescent="0.3">
      <c r="A5" s="22" t="s">
        <v>27</v>
      </c>
      <c r="B5" s="23">
        <v>2018</v>
      </c>
      <c r="C5" s="17">
        <f t="shared" ref="C5:C15" si="1">G5</f>
        <v>0</v>
      </c>
      <c r="D5" s="17">
        <f>E5+F5</f>
        <v>108825360</v>
      </c>
      <c r="E5" s="18">
        <f>'[1]Revitalizace KH'!I9+'[1]Revitalizace KH'!I10+'[1]Revitalizace KH'!I11+'[1]Revitalizace KH'!I12+'[1]Revitalizace KH'!I13+'[1]Revitalizace KH'!I14+'[1]Revitalizace KH'!I15+'[1]Revitalizace KH'!I16+'[1]Revitalizace KH'!I17+'[1]Revitalizace KH'!I18</f>
        <v>108825360</v>
      </c>
      <c r="F5" s="23"/>
      <c r="G5" s="23"/>
      <c r="H5" s="18">
        <f t="shared" si="0"/>
        <v>108825360</v>
      </c>
      <c r="I5" s="24">
        <f>'[1]Revitalizace KH'!I18</f>
        <v>29763715</v>
      </c>
      <c r="J5" s="24">
        <f>'[1]Revitalizace KH'!I9+'[1]Revitalizace KH'!I10+'[1]Revitalizace KH'!I11+'[1]Revitalizace KH'!I12+'[1]Revitalizace KH'!I14+'[1]Revitalizace KH'!I15+'[1]Revitalizace KH'!I17</f>
        <v>70358543</v>
      </c>
      <c r="K5" s="25"/>
      <c r="L5" s="24">
        <f>'[1]Revitalizace KH'!I13+'[1]Revitalizace KH'!I16</f>
        <v>8703102</v>
      </c>
      <c r="M5" s="25"/>
      <c r="N5" s="25"/>
      <c r="O5" s="25"/>
      <c r="P5" s="23"/>
      <c r="Q5" s="23"/>
      <c r="R5" s="23"/>
      <c r="S5" s="26"/>
      <c r="T5" s="26"/>
      <c r="U5" s="26"/>
      <c r="V5" s="26"/>
      <c r="W5" s="26"/>
      <c r="X5" s="26"/>
    </row>
    <row r="6" spans="1:24" x14ac:dyDescent="0.3">
      <c r="A6" s="22" t="s">
        <v>27</v>
      </c>
      <c r="B6" s="23">
        <v>2019</v>
      </c>
      <c r="C6" s="17">
        <f t="shared" si="1"/>
        <v>0</v>
      </c>
      <c r="D6" s="17">
        <f>E6+F6</f>
        <v>122862548</v>
      </c>
      <c r="E6" s="18">
        <f>I6+J6+M6</f>
        <v>122862548</v>
      </c>
      <c r="F6" s="23"/>
      <c r="G6" s="23"/>
      <c r="H6" s="18">
        <f t="shared" si="0"/>
        <v>122862548</v>
      </c>
      <c r="I6" s="24">
        <f>'[1]Revitalizace KH'!I22+'[1]Revitalizace KH'!I27+'[1]Revitalizace KH'!I29</f>
        <v>60328667</v>
      </c>
      <c r="J6" s="24">
        <f>'[1]Revitalizace KH'!I23+'[1]Revitalizace KH'!I24+'[1]Revitalizace KH'!I26+'[1]Revitalizace KH'!I28</f>
        <v>42931572</v>
      </c>
      <c r="K6" s="25"/>
      <c r="L6" s="24"/>
      <c r="M6" s="24">
        <f>'[1]Revitalizace KH'!I25</f>
        <v>19602309</v>
      </c>
      <c r="N6" s="25"/>
      <c r="O6" s="25"/>
      <c r="P6" s="23"/>
      <c r="Q6" s="23"/>
      <c r="R6" s="23"/>
      <c r="S6" s="26"/>
      <c r="T6" s="26"/>
      <c r="U6" s="26"/>
      <c r="V6" s="26"/>
      <c r="W6" s="26"/>
      <c r="X6" s="26"/>
    </row>
    <row r="7" spans="1:24" x14ac:dyDescent="0.3">
      <c r="A7" s="22" t="s">
        <v>28</v>
      </c>
      <c r="B7" s="23">
        <v>2017</v>
      </c>
      <c r="C7" s="17">
        <f t="shared" si="1"/>
        <v>0</v>
      </c>
      <c r="D7" s="18">
        <f>'[1]Revitalizace KH'!I19+'[1]Revitalizace KH'!I20+'[1]Revitalizace KH'!I21</f>
        <v>59900000</v>
      </c>
      <c r="E7" s="18">
        <f>D7/2</f>
        <v>29950000</v>
      </c>
      <c r="F7" s="18">
        <f>D7/2</f>
        <v>29950000</v>
      </c>
      <c r="G7" s="23"/>
      <c r="H7" s="18">
        <f t="shared" si="0"/>
        <v>59900000</v>
      </c>
      <c r="I7" s="24"/>
      <c r="J7" s="24"/>
      <c r="K7" s="25"/>
      <c r="L7" s="24"/>
      <c r="M7" s="25"/>
      <c r="N7" s="25"/>
      <c r="O7" s="25"/>
      <c r="P7" s="23"/>
      <c r="Q7" s="23"/>
      <c r="R7" s="23"/>
      <c r="S7" s="26"/>
      <c r="T7" s="26"/>
      <c r="U7" s="26"/>
      <c r="V7" s="26"/>
      <c r="W7" s="26"/>
      <c r="X7" s="26"/>
    </row>
    <row r="8" spans="1:24" x14ac:dyDescent="0.3">
      <c r="A8" s="22" t="s">
        <v>28</v>
      </c>
      <c r="B8" s="23">
        <v>2018</v>
      </c>
      <c r="C8" s="17">
        <v>0</v>
      </c>
      <c r="D8" s="18">
        <f>'[1]Revitalizace KH'!I30+'[1]Revitalizace KH'!I31+'[1]Revitalizace KH'!I32</f>
        <v>56500000</v>
      </c>
      <c r="E8" s="18">
        <f>D8/2</f>
        <v>28250000</v>
      </c>
      <c r="F8" s="18">
        <f>D8/2</f>
        <v>28250000</v>
      </c>
      <c r="G8" s="23"/>
      <c r="H8" s="18">
        <f t="shared" si="0"/>
        <v>56500000</v>
      </c>
      <c r="I8" s="24"/>
      <c r="J8" s="24"/>
      <c r="K8" s="25"/>
      <c r="L8" s="24"/>
      <c r="M8" s="25"/>
      <c r="N8" s="25"/>
      <c r="O8" s="25"/>
      <c r="P8" s="23"/>
      <c r="Q8" s="23"/>
      <c r="R8" s="23"/>
      <c r="S8" s="26"/>
      <c r="T8" s="26"/>
      <c r="U8" s="26"/>
      <c r="V8" s="26"/>
      <c r="W8" s="26"/>
      <c r="X8" s="26"/>
    </row>
    <row r="9" spans="1:24" ht="28.8" x14ac:dyDescent="0.3">
      <c r="A9" s="22" t="s">
        <v>29</v>
      </c>
      <c r="B9" s="23">
        <v>2016</v>
      </c>
      <c r="C9" s="17">
        <f t="shared" si="1"/>
        <v>12131135</v>
      </c>
      <c r="D9" s="18">
        <f>E9+F9</f>
        <v>41222668</v>
      </c>
      <c r="E9" s="18">
        <f>SUM([1]Demolice_SVL!H10:H16)</f>
        <v>28163193</v>
      </c>
      <c r="F9" s="18">
        <f>SUM([1]Demolice_SVL!H3:H6)</f>
        <v>13059475</v>
      </c>
      <c r="G9" s="18">
        <f>SUM([2]Demolice_SVL!H7:H9)</f>
        <v>12131135</v>
      </c>
      <c r="H9" s="18">
        <f t="shared" si="0"/>
        <v>53353803</v>
      </c>
      <c r="I9" s="24">
        <f>[1]Demolice_SVL!H12+[1]Demolice_SVL!H14+[1]Demolice_SVL!H15+[1]Demolice_SVL!H16</f>
        <v>18236376</v>
      </c>
      <c r="J9" s="24">
        <f>[1]Demolice_SVL!H10</f>
        <v>1332340</v>
      </c>
      <c r="K9" s="24">
        <f>[1]Demolice_SVL!H11</f>
        <v>3594477</v>
      </c>
      <c r="L9" s="24"/>
      <c r="M9" s="25"/>
      <c r="N9" s="24">
        <f>[1]Demolice_SVL!H13</f>
        <v>5000000</v>
      </c>
      <c r="O9" s="25"/>
      <c r="P9" s="18">
        <f>[1]Demolice_SVL!H6</f>
        <v>2555512</v>
      </c>
      <c r="Q9" s="18"/>
      <c r="R9" s="18">
        <f>[1]Demolice_SVL!H3+[1]Demolice_SVL!H4+[1]Demolice_SVL!H5</f>
        <v>10503963</v>
      </c>
      <c r="S9" s="26"/>
      <c r="T9" s="26"/>
      <c r="U9" s="27">
        <f>[2]Demolice_SVL!H7</f>
        <v>2218689</v>
      </c>
      <c r="V9" s="26"/>
      <c r="W9" s="27">
        <f>[2]Demolice_SVL!H8+[2]Demolice_SVL!H9</f>
        <v>9912446</v>
      </c>
      <c r="X9" s="26"/>
    </row>
    <row r="10" spans="1:24" ht="28.8" x14ac:dyDescent="0.3">
      <c r="A10" s="22" t="s">
        <v>29</v>
      </c>
      <c r="B10" s="23">
        <v>2017</v>
      </c>
      <c r="C10" s="17">
        <f t="shared" si="1"/>
        <v>8617102</v>
      </c>
      <c r="D10" s="18">
        <f t="shared" ref="D10:D17" si="2">E10+F10</f>
        <v>17901647</v>
      </c>
      <c r="E10" s="18">
        <f>SUM([1]Demolice_SVL!H17:H21)</f>
        <v>17901647</v>
      </c>
      <c r="F10" s="23"/>
      <c r="G10" s="18">
        <f>SUM([2]Demolice_SVL!H22:H24)</f>
        <v>8617102</v>
      </c>
      <c r="H10" s="18">
        <f t="shared" si="0"/>
        <v>26518749</v>
      </c>
      <c r="I10" s="24">
        <f>[1]Demolice_SVL!H20+[1]Demolice_SVL!H21</f>
        <v>10000000</v>
      </c>
      <c r="J10" s="24">
        <f>[1]Demolice_SVL!H18</f>
        <v>5000000</v>
      </c>
      <c r="K10" s="24">
        <f>[1]Demolice_SVL!H17</f>
        <v>2245987</v>
      </c>
      <c r="L10" s="24"/>
      <c r="M10" s="25"/>
      <c r="N10" s="25"/>
      <c r="O10" s="24">
        <f>[1]Demolice_SVL!H19</f>
        <v>655660</v>
      </c>
      <c r="P10" s="23"/>
      <c r="Q10" s="23"/>
      <c r="R10" s="23"/>
      <c r="S10" s="27">
        <f>[2]Demolice_SVL!H22+[2]Demolice_SVL!H23</f>
        <v>3617102</v>
      </c>
      <c r="T10" s="26"/>
      <c r="U10" s="26"/>
      <c r="V10" s="26"/>
      <c r="W10" s="27">
        <f>[2]Demolice_SVL!H24</f>
        <v>5000000</v>
      </c>
      <c r="X10" s="26"/>
    </row>
    <row r="11" spans="1:24" ht="28.8" x14ac:dyDescent="0.3">
      <c r="A11" s="22" t="s">
        <v>29</v>
      </c>
      <c r="B11" s="23">
        <v>2018</v>
      </c>
      <c r="C11" s="17">
        <f t="shared" si="1"/>
        <v>13356547</v>
      </c>
      <c r="D11" s="18">
        <f t="shared" si="2"/>
        <v>37200165</v>
      </c>
      <c r="E11" s="18">
        <f>SUM([1]Demolice_SVL!H25:H32)</f>
        <v>37200165</v>
      </c>
      <c r="F11" s="23"/>
      <c r="G11" s="18">
        <f>SUM([2]Demolice_SVL!H33:H37)</f>
        <v>13356547</v>
      </c>
      <c r="H11" s="18">
        <f t="shared" si="0"/>
        <v>50556712</v>
      </c>
      <c r="I11" s="24">
        <f>[1]Demolice_SVL!H27+[1]Demolice_SVL!H28+[1]Demolice_SVL!H30</f>
        <v>18654696</v>
      </c>
      <c r="J11" s="24">
        <f>[1]Demolice_SVL!H29+[1]Demolice_SVL!H31</f>
        <v>4282643</v>
      </c>
      <c r="K11" s="24">
        <f>[1]Demolice_SVL!H26</f>
        <v>4921600</v>
      </c>
      <c r="L11" s="24">
        <f>[1]Demolice_SVL!H25</f>
        <v>3740179</v>
      </c>
      <c r="M11" s="25"/>
      <c r="N11" s="25"/>
      <c r="O11" s="24">
        <f>[1]Demolice_SVL!H32</f>
        <v>5601047</v>
      </c>
      <c r="P11" s="23"/>
      <c r="Q11" s="23"/>
      <c r="R11" s="23"/>
      <c r="S11" s="27">
        <f>[2]Demolice_SVL!H34</f>
        <v>469624</v>
      </c>
      <c r="T11" s="26"/>
      <c r="U11" s="27">
        <f>[2]Demolice_SVL!H35</f>
        <v>861905</v>
      </c>
      <c r="V11" s="26"/>
      <c r="W11" s="27">
        <f>[2]Demolice_SVL!H33+[2]Demolice_SVL!H36+[2]Demolice_SVL!H37</f>
        <v>12025018</v>
      </c>
      <c r="X11" s="26"/>
    </row>
    <row r="12" spans="1:24" ht="28.8" x14ac:dyDescent="0.3">
      <c r="A12" s="22" t="s">
        <v>29</v>
      </c>
      <c r="B12" s="23">
        <v>2019</v>
      </c>
      <c r="C12" s="17">
        <f t="shared" si="1"/>
        <v>2830496</v>
      </c>
      <c r="D12" s="18">
        <f t="shared" si="2"/>
        <v>31054639</v>
      </c>
      <c r="E12" s="18">
        <f>[1]Demolice_SVL!H44+[1]Demolice_SVL!H45+[1]Demolice_SVL!H46+[1]Demolice_SVL!H47</f>
        <v>21635412</v>
      </c>
      <c r="F12" s="18">
        <f>[1]Demolice_SVL!H38+[1]Demolice_SVL!H39+[1]Demolice_SVL!H40+[1]Demolice_SVL!H41</f>
        <v>9419227</v>
      </c>
      <c r="G12" s="18">
        <f>[2]Demolice_SVL!H42+[2]Demolice_SVL!H43</f>
        <v>2830496</v>
      </c>
      <c r="H12" s="18">
        <f t="shared" si="0"/>
        <v>33885135</v>
      </c>
      <c r="I12" s="24">
        <f>[1]Demolice_SVL!H44</f>
        <v>10000000</v>
      </c>
      <c r="J12" s="24"/>
      <c r="K12" s="24"/>
      <c r="L12" s="24">
        <f>[1]Demolice_SVL!H45</f>
        <v>1635412</v>
      </c>
      <c r="M12" s="24">
        <f>[1]Demolice_SVL!H46+[1]Demolice_SVL!H47</f>
        <v>10000000</v>
      </c>
      <c r="N12" s="25"/>
      <c r="O12" s="24"/>
      <c r="P12" s="18">
        <f>[1]Demolice_SVL!H41</f>
        <v>1846727</v>
      </c>
      <c r="Q12" s="18">
        <f>[1]Demolice_SVL!H38</f>
        <v>1017232</v>
      </c>
      <c r="R12" s="18">
        <f>[1]Demolice_SVL!H39+[1]Demolice_SVL!H40</f>
        <v>6555268</v>
      </c>
      <c r="S12" s="27"/>
      <c r="T12" s="26"/>
      <c r="U12" s="27">
        <f>[2]Demolice_SVL!H43</f>
        <v>552334</v>
      </c>
      <c r="V12" s="26"/>
      <c r="W12" s="27">
        <f>[2]Demolice_SVL!H42</f>
        <v>2278162</v>
      </c>
      <c r="X12" s="26"/>
    </row>
    <row r="13" spans="1:24" ht="28.8" x14ac:dyDescent="0.3">
      <c r="A13" s="22" t="s">
        <v>30</v>
      </c>
      <c r="B13" s="23">
        <v>2017</v>
      </c>
      <c r="C13" s="17">
        <f t="shared" si="1"/>
        <v>0</v>
      </c>
      <c r="D13" s="18">
        <f t="shared" si="2"/>
        <v>11475000</v>
      </c>
      <c r="E13" s="18">
        <f>'[1]MPO-BF pod. I.-V.výzva'!J3</f>
        <v>11475000</v>
      </c>
      <c r="F13" s="23"/>
      <c r="G13" s="23"/>
      <c r="H13" s="18">
        <f t="shared" si="0"/>
        <v>11475000</v>
      </c>
      <c r="I13" s="25"/>
      <c r="J13" s="25"/>
      <c r="K13" s="25"/>
      <c r="L13" s="25"/>
      <c r="M13" s="25"/>
      <c r="N13" s="25"/>
      <c r="O13" s="24">
        <f>'[1]MPO-BF pod. I.-V.výzva'!J3</f>
        <v>11475000</v>
      </c>
      <c r="P13" s="23"/>
      <c r="Q13" s="23"/>
      <c r="R13" s="23"/>
      <c r="S13" s="26"/>
      <c r="T13" s="26"/>
      <c r="U13" s="26"/>
      <c r="V13" s="26"/>
      <c r="W13" s="26"/>
      <c r="X13" s="26"/>
    </row>
    <row r="14" spans="1:24" ht="28.8" x14ac:dyDescent="0.3">
      <c r="A14" s="22" t="s">
        <v>31</v>
      </c>
      <c r="B14" s="23">
        <v>2018</v>
      </c>
      <c r="C14" s="17">
        <f t="shared" si="1"/>
        <v>0</v>
      </c>
      <c r="D14" s="18">
        <f t="shared" si="2"/>
        <v>92384407</v>
      </c>
      <c r="E14" s="18">
        <f>'[1]MPO-BF pod. I.-V.výzva'!J4+'[1]MPO-BF pod. I.-V.výzva'!J9+'[1]MPO-BF pod. I.-V.výzva'!J13+'[1]MPO-BF pod. I.-V.výzva'!J20</f>
        <v>53371635</v>
      </c>
      <c r="F14" s="18">
        <f>'[1]MPO-BF pod. I.-V.výzva'!J10+'[1]MPO-BF pod. I.-V.výzva'!J16</f>
        <v>39012772</v>
      </c>
      <c r="G14" s="18"/>
      <c r="H14" s="18">
        <f t="shared" si="0"/>
        <v>92384407</v>
      </c>
      <c r="I14" s="24">
        <f>'[1]MPO-BF pod. I.-V.výzva'!J13</f>
        <v>9437345</v>
      </c>
      <c r="J14" s="25"/>
      <c r="K14" s="25"/>
      <c r="L14" s="24">
        <f>'[1]MPO-BF pod. I.-V.výzva'!J9</f>
        <v>10294500</v>
      </c>
      <c r="M14" s="25"/>
      <c r="N14" s="25"/>
      <c r="O14" s="24">
        <f>'[1]MPO-BF pod. I.-V.výzva'!J4+'[1]MPO-BF pod. I.-V.výzva'!J20</f>
        <v>33639790</v>
      </c>
      <c r="P14" s="23"/>
      <c r="Q14" s="18">
        <f>'[1]MPO-BF pod. I.-V.výzva'!J16</f>
        <v>18854116</v>
      </c>
      <c r="R14" s="18">
        <f>'[1]MPO-BF pod. I.-V.výzva'!J10</f>
        <v>20158656</v>
      </c>
      <c r="S14" s="26"/>
      <c r="T14" s="27"/>
      <c r="U14" s="26"/>
      <c r="V14" s="26"/>
      <c r="W14" s="26"/>
      <c r="X14" s="26"/>
    </row>
    <row r="15" spans="1:24" ht="28.8" x14ac:dyDescent="0.3">
      <c r="A15" s="22" t="s">
        <v>32</v>
      </c>
      <c r="B15" s="23">
        <v>2019</v>
      </c>
      <c r="C15" s="17">
        <f t="shared" si="1"/>
        <v>2565775</v>
      </c>
      <c r="D15" s="18">
        <f t="shared" si="2"/>
        <v>61182317</v>
      </c>
      <c r="E15" s="18">
        <f>'[1]MPO-BF pod. I.-V.výzva'!J31+'[1]MPO-BF pod. I.-V.výzva'!J34</f>
        <v>61182317</v>
      </c>
      <c r="F15" s="3"/>
      <c r="G15" s="18">
        <f>'[2]MPO - BF'!J30</f>
        <v>2565775</v>
      </c>
      <c r="H15" s="18">
        <f t="shared" si="0"/>
        <v>63748092</v>
      </c>
      <c r="I15" s="24"/>
      <c r="J15" s="25"/>
      <c r="K15" s="25"/>
      <c r="L15" s="24">
        <f>'[1]MPO-BF pod. I.-V.výzva'!J34</f>
        <v>41614777</v>
      </c>
      <c r="M15" s="24">
        <f>'[1]MPO-BF pod. I.-V.výzva'!J31</f>
        <v>19567540</v>
      </c>
      <c r="N15" s="25"/>
      <c r="O15" s="24"/>
      <c r="P15" s="23"/>
      <c r="Q15" s="18"/>
      <c r="R15" s="18"/>
      <c r="S15" s="26"/>
      <c r="T15" s="27"/>
      <c r="U15" s="26"/>
      <c r="V15" s="27">
        <f>'[2]MPO - BF'!J30</f>
        <v>2565775</v>
      </c>
      <c r="W15" s="26"/>
      <c r="X15" s="26"/>
    </row>
    <row r="16" spans="1:24" ht="86.4" x14ac:dyDescent="0.3">
      <c r="A16" s="22" t="s">
        <v>33</v>
      </c>
      <c r="B16" s="23">
        <v>2019</v>
      </c>
      <c r="C16" s="17">
        <v>850740318</v>
      </c>
      <c r="D16" s="18">
        <f t="shared" si="2"/>
        <v>190222724.30000001</v>
      </c>
      <c r="E16" s="18">
        <f>'[1]OP ŽP - 136. výzva'!H5+'[1]OP ŽP - 136. výzva'!H9+'[1]OP ŽP - 136. výzva'!H10+'[1]OP ŽP - 136. výzva'!H27+'[1]OP ŽP - 136. výzva'!H28+'[1]OP ŽP - 136. výzva'!H34+'[1]OP ŽP - 136. výzva'!H36+'[1]OP ŽP - 136. výzva'!H44+'[1]OP ŽP - 136. výzva'!H45+'[1]OP ŽP - 136. výzva'!H50+'[1]OP ŽP - 136. výzva'!H51+'[1]OP ŽP - 136. výzva'!H53+'[1]OP ŽP - 136. výzva'!H54+'[1]OP ŽP - 136. výzva'!H55+'[1]OP ŽP - 136. výzva'!H56+'[1]OP ŽP - 136. výzva'!H58</f>
        <v>116398097.90000001</v>
      </c>
      <c r="F16" s="28">
        <f>'[1]OP ŽP - 136. výzva'!H57+'[1]OP ŽP - 136. výzva'!H60</f>
        <v>73824626.400000006</v>
      </c>
      <c r="G16" s="18">
        <v>850740318</v>
      </c>
      <c r="H16" s="18">
        <f t="shared" si="0"/>
        <v>1040963042.3</v>
      </c>
      <c r="I16" s="24">
        <f>'[1]OP ŽP - 136. výzva'!H10+'[1]OP ŽP - 136. výzva'!H28+'[1]OP ŽP - 136. výzva'!H34+'[1]OP ŽP - 136. výzva'!H36+'[1]OP ŽP - 136. výzva'!H50</f>
        <v>23990600</v>
      </c>
      <c r="J16" s="24">
        <f>'[1]OP ŽP - 136. výzva'!H53+'[1]OP ŽP - 136. výzva'!H54+'[1]OP ŽP - 136. výzva'!H55+'[1]OP ŽP - 136. výzva'!H56+'[1]OP ŽP - 136. výzva'!H58</f>
        <v>18933500</v>
      </c>
      <c r="K16" s="24">
        <f>'[1]OP ŽP - 136. výzva'!H5</f>
        <v>5113784.5</v>
      </c>
      <c r="L16" s="24">
        <f>'[1]OP ŽP - 136. výzva'!H9+'[1]OP ŽP - 136. výzva'!H45</f>
        <v>56977563.399999999</v>
      </c>
      <c r="M16" s="25"/>
      <c r="N16" s="24">
        <f>'[1]OP ŽP - 136. výzva'!H27</f>
        <v>4170000</v>
      </c>
      <c r="O16" s="24">
        <f>'[1]OP ŽP - 136. výzva'!H44+'[1]OP ŽP - 136. výzva'!H51</f>
        <v>7212650</v>
      </c>
      <c r="P16" s="23"/>
      <c r="Q16" s="18">
        <f>'[1]OP ŽP - 136. výzva'!H57</f>
        <v>2295150</v>
      </c>
      <c r="R16" s="18">
        <f>'[1]OP ŽP - 136. výzva'!H60</f>
        <v>71529476.400000006</v>
      </c>
      <c r="S16" s="27">
        <f>'[2]OP ŽP - 136. výzva'!H15+'[2]OP ŽP - 136. výzva'!H59</f>
        <v>2681386.7999999998</v>
      </c>
      <c r="T16" s="27">
        <f>'[2]OP ŽP - 136. výzva'!H31+'[2]OP ŽP - 136. výzva'!H38+'[2]OP ŽP - 136. výzva'!H40+'[2]OP ŽP - 136. výzva'!H41+'[2]OP ŽP - 136. výzva'!H42+'[2]OP ŽP - 136. výzva'!H52</f>
        <v>34475400</v>
      </c>
      <c r="U16" s="27">
        <f>'[2]OP ŽP - 136. výzva'!H48+'[2]OP ŽP - 136. výzva'!H49</f>
        <v>8126650</v>
      </c>
      <c r="V16" s="27">
        <f>'[2]OP ŽP - 136. výzva'!H3+'[2]OP ŽP - 136. výzva'!H4+'[2]OP ŽP - 136. výzva'!H7+'[2]OP ŽP - 136. výzva'!H11+'[2]OP ŽP - 136. výzva'!H12+'[2]OP ŽP - 136. výzva'!H26+'[2]OP ŽP - 136. výzva'!H29+'[2]OP ŽP - 136. výzva'!H35+'[2]OP ŽP - 136. výzva'!H37+'[2]OP ŽP - 136. výzva'!H39+'[2]OP ŽP - 136. výzva'!H43+'[2]OP ŽP - 136. výzva'!H46</f>
        <v>293368093.10000002</v>
      </c>
      <c r="X16" s="27">
        <f>'[2]OP ŽP - 136. výzva'!H6+'[2]OP ŽP - 136. výzva'!H8+'[2]OP ŽP - 136. výzva'!H13+'[2]OP ŽP - 136. výzva'!H14+'[2]OP ŽP - 136. výzva'!H25+'[2]OP ŽP - 136. výzva'!H30+'[2]OP ŽP - 136. výzva'!H32+'[2]OP ŽP - 136. výzva'!H33</f>
        <v>512088787.94999999</v>
      </c>
    </row>
    <row r="17" spans="1:24" x14ac:dyDescent="0.3">
      <c r="A17" s="22" t="s">
        <v>34</v>
      </c>
      <c r="B17" s="23">
        <v>2018</v>
      </c>
      <c r="C17" s="17">
        <f>G17</f>
        <v>0</v>
      </c>
      <c r="D17" s="18">
        <f t="shared" si="2"/>
        <v>2150000</v>
      </c>
      <c r="E17" s="18">
        <f>'[1]Studie a analýzy'!C2</f>
        <v>2150000</v>
      </c>
      <c r="F17" s="18"/>
      <c r="G17" s="18"/>
      <c r="H17" s="18">
        <f t="shared" si="0"/>
        <v>2150000</v>
      </c>
      <c r="I17" s="24"/>
      <c r="J17" s="25"/>
      <c r="K17" s="25"/>
      <c r="L17" s="24"/>
      <c r="M17" s="24">
        <v>2150000</v>
      </c>
      <c r="N17" s="25"/>
      <c r="O17" s="24"/>
      <c r="P17" s="23"/>
      <c r="Q17" s="18"/>
      <c r="R17" s="18"/>
      <c r="S17" s="26"/>
      <c r="T17" s="27"/>
      <c r="U17" s="26"/>
      <c r="V17" s="26"/>
      <c r="W17" s="26"/>
      <c r="X17" s="26"/>
    </row>
    <row r="18" spans="1:24" x14ac:dyDescent="0.3">
      <c r="A18" s="22" t="s">
        <v>35</v>
      </c>
      <c r="B18" s="23">
        <v>2018</v>
      </c>
      <c r="C18" s="18">
        <f>G18</f>
        <v>249595421.81</v>
      </c>
      <c r="D18" s="18">
        <f>E18</f>
        <v>112282338.91000001</v>
      </c>
      <c r="E18" s="18">
        <f>'[1]OP VVV'!J5+'[1]OP VVV'!J9+'[1]OP VVV'!J15</f>
        <v>112282338.91000001</v>
      </c>
      <c r="F18" s="23"/>
      <c r="G18" s="18">
        <f>'[2]OP VVV'!J7+'[2]OP VVV'!J13+'[2]OP VVV'!J17</f>
        <v>249595421.81</v>
      </c>
      <c r="H18" s="18">
        <f t="shared" si="0"/>
        <v>361877760.72000003</v>
      </c>
      <c r="I18" s="25"/>
      <c r="J18" s="25"/>
      <c r="K18" s="24">
        <f>'[1]OP VVV'!J9</f>
        <v>6158919.9000000004</v>
      </c>
      <c r="L18" s="25"/>
      <c r="M18" s="24">
        <f>'[1]OP VVV'!J5</f>
        <v>106123419.01000001</v>
      </c>
      <c r="N18" s="25"/>
      <c r="O18" s="25"/>
      <c r="P18" s="23"/>
      <c r="Q18" s="23"/>
      <c r="R18" s="23"/>
      <c r="S18" s="26"/>
      <c r="T18" s="27">
        <f>'[2]OP VVV'!J13</f>
        <v>84730391.760000005</v>
      </c>
      <c r="U18" s="26"/>
      <c r="V18" s="27">
        <f>'[2]OP VVV'!J7+'[2]OP VVV'!J17</f>
        <v>164865030.04999998</v>
      </c>
      <c r="W18" s="26"/>
      <c r="X18" s="26"/>
    </row>
    <row r="19" spans="1:24" x14ac:dyDescent="0.3">
      <c r="A19" s="22" t="s">
        <v>36</v>
      </c>
      <c r="B19" s="23">
        <v>2018</v>
      </c>
      <c r="C19" s="18">
        <f>G19</f>
        <v>1064407049.88</v>
      </c>
      <c r="D19" s="18">
        <f>E19</f>
        <v>743010948.08000004</v>
      </c>
      <c r="E19" s="18">
        <f>'[1]OP VVV'!J4+'[1]OP VVV'!J6</f>
        <v>743010948.08000004</v>
      </c>
      <c r="F19" s="23"/>
      <c r="G19" s="18">
        <f>'[2]OP VVV'!J8+'[2]OP VVV'!J14+'[2]OP VVV'!J18+'[2]OP VVV'!J19</f>
        <v>1064407049.88</v>
      </c>
      <c r="H19" s="18">
        <f t="shared" ref="H19:H29" si="3">SUM(E19:G19)</f>
        <v>1807417997.96</v>
      </c>
      <c r="I19" s="25"/>
      <c r="J19" s="25"/>
      <c r="K19" s="25"/>
      <c r="L19" s="25"/>
      <c r="M19" s="24">
        <f>'[1]OP VVV'!J4+'[1]OP VVV'!J6</f>
        <v>743010948.08000004</v>
      </c>
      <c r="N19" s="25"/>
      <c r="O19" s="25"/>
      <c r="P19" s="23"/>
      <c r="Q19" s="23"/>
      <c r="R19" s="23"/>
      <c r="S19" s="26"/>
      <c r="T19" s="27">
        <f>'[2]OP VVV'!J14</f>
        <v>41769977.380000003</v>
      </c>
      <c r="U19" s="26"/>
      <c r="V19" s="27">
        <f>'[2]OP VVV'!J8+'[2]OP VVV'!J18+'[2]OP VVV'!J19</f>
        <v>1022637072.5</v>
      </c>
      <c r="W19" s="26"/>
      <c r="X19" s="26"/>
    </row>
    <row r="20" spans="1:24" x14ac:dyDescent="0.3">
      <c r="A20" s="29" t="s">
        <v>37</v>
      </c>
      <c r="B20" s="23">
        <v>2018</v>
      </c>
      <c r="C20" s="18">
        <f t="shared" ref="C20:C28" si="4">G20</f>
        <v>82655233</v>
      </c>
      <c r="D20" s="18">
        <f t="shared" ref="D20:D21" si="5">E20</f>
        <v>19602540</v>
      </c>
      <c r="E20" s="18">
        <f>[3]tabulka!$D$55</f>
        <v>19602540</v>
      </c>
      <c r="F20" s="23"/>
      <c r="G20" s="18">
        <f>[3]tabulka!$D$45</f>
        <v>82655233</v>
      </c>
      <c r="H20" s="18">
        <f t="shared" si="3"/>
        <v>102257773</v>
      </c>
      <c r="I20" s="25"/>
      <c r="J20" s="25"/>
      <c r="K20" s="25"/>
      <c r="L20" s="25"/>
      <c r="M20" s="25"/>
      <c r="N20" s="25"/>
      <c r="O20" s="25"/>
      <c r="P20" s="23"/>
      <c r="Q20" s="23"/>
      <c r="R20" s="23"/>
      <c r="S20" s="26"/>
      <c r="T20" s="26"/>
      <c r="U20" s="26"/>
      <c r="V20" s="26"/>
      <c r="W20" s="26"/>
      <c r="X20" s="26"/>
    </row>
    <row r="21" spans="1:24" x14ac:dyDescent="0.3">
      <c r="A21" s="22" t="s">
        <v>38</v>
      </c>
      <c r="B21" s="23">
        <v>2018</v>
      </c>
      <c r="C21" s="18">
        <f t="shared" si="4"/>
        <v>19406969</v>
      </c>
      <c r="D21" s="18">
        <f t="shared" si="5"/>
        <v>9222417</v>
      </c>
      <c r="E21" s="18">
        <v>9222417</v>
      </c>
      <c r="F21" s="23"/>
      <c r="G21" s="18">
        <v>19406969</v>
      </c>
      <c r="H21" s="18">
        <f t="shared" si="3"/>
        <v>28629386</v>
      </c>
      <c r="I21" s="25"/>
      <c r="J21" s="25"/>
      <c r="K21" s="25"/>
      <c r="L21" s="25"/>
      <c r="M21" s="25"/>
      <c r="N21" s="25"/>
      <c r="O21" s="25"/>
      <c r="P21" s="23"/>
      <c r="Q21" s="23"/>
      <c r="R21" s="23"/>
      <c r="S21" s="26"/>
      <c r="T21" s="26"/>
      <c r="U21" s="26"/>
      <c r="V21" s="26"/>
      <c r="W21" s="26"/>
      <c r="X21" s="26"/>
    </row>
    <row r="22" spans="1:24" ht="28.8" x14ac:dyDescent="0.3">
      <c r="A22" s="22" t="s">
        <v>39</v>
      </c>
      <c r="B22" s="23">
        <v>2019</v>
      </c>
      <c r="C22" s="18">
        <f t="shared" si="4"/>
        <v>367835046.89999998</v>
      </c>
      <c r="D22" s="18">
        <f>E22+F22</f>
        <v>420253481</v>
      </c>
      <c r="E22" s="18">
        <f>'[1]Realokace IROP'!H5+'[1]Realokace IROP'!H6+'[1]Realokace IROP'!H8+'[1]Realokace IROP'!H9+'[1]Realokace IROP'!H10</f>
        <v>420253481</v>
      </c>
      <c r="F22" s="18"/>
      <c r="G22" s="18">
        <f>'[2]Realokace IROP'!H7+'[2]Realokace IROP'!H11+'[2]Realokace IROP'!H12+'[2]Realokace IROP'!H13+'[2]Realokace IROP'!H14+'[2]Realokace IROP'!H15+'[2]Realokace IROP'!H16+'[2]Realokace IROP'!H17+'[2]Realokace IROP'!H18</f>
        <v>367835046.89999998</v>
      </c>
      <c r="H22" s="18">
        <f t="shared" si="3"/>
        <v>788088527.89999998</v>
      </c>
      <c r="I22" s="24">
        <f>'[1]Realokace IROP'!H9</f>
        <v>84150000</v>
      </c>
      <c r="J22" s="24">
        <f>'[1]Realokace IROP'!H6</f>
        <v>84099000</v>
      </c>
      <c r="K22" s="24">
        <f>'[1]Realokace IROP'!H8</f>
        <v>83835500</v>
      </c>
      <c r="L22" s="24">
        <f>'[1]Realokace IROP'!H10</f>
        <v>84111750</v>
      </c>
      <c r="M22" s="24"/>
      <c r="N22" s="24"/>
      <c r="O22" s="24">
        <f>'[1]Realokace IROP'!H5</f>
        <v>84057231</v>
      </c>
      <c r="P22" s="18"/>
      <c r="Q22" s="18"/>
      <c r="R22" s="18"/>
      <c r="S22" s="27"/>
      <c r="T22" s="27">
        <f>'[2]Realokace IROP'!H7</f>
        <v>23448384.75</v>
      </c>
      <c r="U22" s="27">
        <f>'[2]Realokace IROP'!H15</f>
        <v>63151938.299999997</v>
      </c>
      <c r="V22" s="27">
        <f>'[2]Realokace IROP'!H16+'[2]Realokace IROP'!H17+'[2]Realokace IROP'!H18</f>
        <v>202390616.80000001</v>
      </c>
      <c r="W22" s="27">
        <f>'[2]Realokace IROP'!H11+'[2]Realokace IROP'!H12</f>
        <v>28824350</v>
      </c>
      <c r="X22" s="27">
        <f>'[2]Realokace IROP'!H13+'[2]Realokace IROP'!H14</f>
        <v>50019757.049999997</v>
      </c>
    </row>
    <row r="23" spans="1:24" ht="43.2" x14ac:dyDescent="0.3">
      <c r="A23" s="22" t="s">
        <v>40</v>
      </c>
      <c r="B23" s="23">
        <v>2019</v>
      </c>
      <c r="C23" s="18">
        <f t="shared" si="4"/>
        <v>0</v>
      </c>
      <c r="D23" s="18">
        <f>E23+F23</f>
        <v>149995250</v>
      </c>
      <c r="E23" s="18">
        <f>'[1]Realokace IROP'!H20</f>
        <v>68199750</v>
      </c>
      <c r="F23" s="18">
        <f>'[1]Realokace IROP'!H19</f>
        <v>81795500</v>
      </c>
      <c r="G23" s="18"/>
      <c r="H23" s="18">
        <f t="shared" si="3"/>
        <v>149995250</v>
      </c>
      <c r="I23" s="24">
        <f>'[1]Realokace IROP'!H20</f>
        <v>68199750</v>
      </c>
      <c r="J23" s="24"/>
      <c r="K23" s="24"/>
      <c r="L23" s="24"/>
      <c r="M23" s="24"/>
      <c r="N23" s="24"/>
      <c r="O23" s="24"/>
      <c r="P23" s="18">
        <f>'[1]Realokace IROP'!H19</f>
        <v>81795500</v>
      </c>
      <c r="Q23" s="18"/>
      <c r="R23" s="18"/>
      <c r="S23" s="27"/>
      <c r="T23" s="27"/>
      <c r="U23" s="27"/>
      <c r="V23" s="27"/>
      <c r="W23" s="27"/>
      <c r="X23" s="27"/>
    </row>
    <row r="24" spans="1:24" ht="43.2" x14ac:dyDescent="0.3">
      <c r="A24" s="22" t="s">
        <v>41</v>
      </c>
      <c r="B24" s="23">
        <v>2019</v>
      </c>
      <c r="C24" s="18">
        <f t="shared" si="4"/>
        <v>6701527.5499999998</v>
      </c>
      <c r="D24" s="18">
        <f t="shared" ref="D24:D25" si="6">E24+F24</f>
        <v>34133136.75</v>
      </c>
      <c r="E24" s="18">
        <f>'[1]Realokace IROP'!H23</f>
        <v>28000000</v>
      </c>
      <c r="F24" s="18">
        <f>'[1]Realokace IROP'!H21</f>
        <v>6133136.75</v>
      </c>
      <c r="G24" s="18">
        <f>'[2]Realokace IROP'!H22</f>
        <v>6701527.5499999998</v>
      </c>
      <c r="H24" s="18">
        <f t="shared" si="3"/>
        <v>40834664.299999997</v>
      </c>
      <c r="I24" s="24"/>
      <c r="J24" s="24">
        <f>'[1]Realokace IROP'!H23</f>
        <v>28000000</v>
      </c>
      <c r="K24" s="24"/>
      <c r="L24" s="24"/>
      <c r="M24" s="24"/>
      <c r="N24" s="24"/>
      <c r="O24" s="24"/>
      <c r="P24" s="18"/>
      <c r="Q24" s="18"/>
      <c r="R24" s="18">
        <f>'[1]Realokace IROP'!H21</f>
        <v>6133136.75</v>
      </c>
      <c r="S24" s="27"/>
      <c r="T24" s="27"/>
      <c r="U24" s="27">
        <f>'[2]Realokace IROP'!H22</f>
        <v>6701527.5499999998</v>
      </c>
      <c r="V24" s="27"/>
      <c r="W24" s="27"/>
      <c r="X24" s="27"/>
    </row>
    <row r="25" spans="1:24" ht="31.5" customHeight="1" x14ac:dyDescent="0.3">
      <c r="A25" s="22" t="s">
        <v>42</v>
      </c>
      <c r="B25" s="23">
        <v>2019</v>
      </c>
      <c r="C25" s="18">
        <f t="shared" si="4"/>
        <v>3460103.5</v>
      </c>
      <c r="D25" s="18">
        <f t="shared" si="6"/>
        <v>0</v>
      </c>
      <c r="E25" s="18"/>
      <c r="F25" s="18"/>
      <c r="G25" s="18">
        <f>'[2]Realokace IROP'!H24</f>
        <v>3460103.5</v>
      </c>
      <c r="H25" s="18">
        <f t="shared" si="3"/>
        <v>3460103.5</v>
      </c>
      <c r="I25" s="24"/>
      <c r="J25" s="24"/>
      <c r="K25" s="24"/>
      <c r="L25" s="24"/>
      <c r="M25" s="24"/>
      <c r="N25" s="24"/>
      <c r="O25" s="24"/>
      <c r="P25" s="18"/>
      <c r="Q25" s="18"/>
      <c r="R25" s="18"/>
      <c r="S25" s="27"/>
      <c r="T25" s="27">
        <f>'[2]Realokace IROP'!H24</f>
        <v>3460103.5</v>
      </c>
      <c r="U25" s="27"/>
      <c r="V25" s="27"/>
      <c r="W25" s="27"/>
      <c r="X25" s="27"/>
    </row>
    <row r="26" spans="1:24" ht="28.8" x14ac:dyDescent="0.3">
      <c r="A26" s="36" t="s">
        <v>43</v>
      </c>
      <c r="B26" s="37">
        <v>2019</v>
      </c>
      <c r="C26" s="38">
        <f t="shared" si="4"/>
        <v>1000000000</v>
      </c>
      <c r="D26" s="38">
        <f>E26+F26</f>
        <v>477448133</v>
      </c>
      <c r="E26" s="38">
        <f>'[1]OP ŽP Kotlíkové dotace'!H4</f>
        <v>337738589</v>
      </c>
      <c r="F26" s="38">
        <f>'[1]OP ŽP Kotlíkové dotace'!H5</f>
        <v>139709544</v>
      </c>
      <c r="G26" s="38">
        <f>'[2]OP ŽP Kotlíkové dotace'!H3</f>
        <v>1000000000</v>
      </c>
      <c r="H26" s="18">
        <f t="shared" si="3"/>
        <v>1477448133</v>
      </c>
      <c r="I26" s="24"/>
      <c r="J26" s="24"/>
      <c r="K26" s="24"/>
      <c r="L26" s="24"/>
      <c r="M26" s="24"/>
      <c r="N26" s="24"/>
      <c r="O26" s="24"/>
      <c r="P26" s="18"/>
      <c r="Q26" s="23"/>
      <c r="R26" s="23"/>
      <c r="S26" s="23"/>
      <c r="T26" s="23"/>
      <c r="U26" s="23"/>
      <c r="V26" s="23"/>
      <c r="W26" s="23"/>
      <c r="X26" s="23"/>
    </row>
    <row r="27" spans="1:24" ht="44.55" customHeight="1" x14ac:dyDescent="0.3">
      <c r="A27" s="22" t="s">
        <v>44</v>
      </c>
      <c r="B27" s="23">
        <v>2019</v>
      </c>
      <c r="C27" s="18">
        <v>59806757</v>
      </c>
      <c r="D27" s="18">
        <v>136266089</v>
      </c>
      <c r="E27" s="18">
        <v>109512962</v>
      </c>
      <c r="F27" s="18">
        <v>26753127</v>
      </c>
      <c r="G27" s="18">
        <v>59806757</v>
      </c>
      <c r="H27" s="18">
        <f t="shared" si="3"/>
        <v>196072846</v>
      </c>
      <c r="I27" s="24">
        <f>'[1]OP Z'!F11+'[1]OP Z'!F12+'[1]OP Z'!F20+'[1]OP Z'!F32+'[1]OP Z'!F38</f>
        <v>33266453.75</v>
      </c>
      <c r="J27" s="24">
        <v>14020979</v>
      </c>
      <c r="K27" s="24">
        <f>'[1]OP Z'!F35</f>
        <v>4308500</v>
      </c>
      <c r="L27" s="24"/>
      <c r="M27" s="24">
        <f>'[1]OP Z'!F7+'[1]OP Z'!F9+'[1]OP Z'!F21</f>
        <v>23656475.059999999</v>
      </c>
      <c r="N27" s="24">
        <f>'[1]OP Z'!F14+'[1]OP Z'!F17+'[1]OP Z'!F22</f>
        <v>21345920</v>
      </c>
      <c r="O27" s="24"/>
      <c r="P27" s="18"/>
      <c r="Q27" s="18">
        <f>'[1]OP Z'!F6+'[1]OP Z'!F23</f>
        <v>10757900</v>
      </c>
      <c r="R27" s="18">
        <v>2482544</v>
      </c>
      <c r="S27" s="27"/>
      <c r="T27" s="27"/>
      <c r="U27" s="27"/>
      <c r="V27" s="27">
        <v>28414799</v>
      </c>
      <c r="W27" s="27">
        <v>3449000</v>
      </c>
      <c r="X27" s="27">
        <f>'[2]OP Z'!F24+'[2]OP Z'!F29+'[2]OP Z'!F38+'[2]OP Z'!F18</f>
        <v>16114690</v>
      </c>
    </row>
    <row r="28" spans="1:24" ht="28.8" x14ac:dyDescent="0.3">
      <c r="A28" s="22" t="s">
        <v>45</v>
      </c>
      <c r="B28" s="23">
        <v>2019</v>
      </c>
      <c r="C28" s="18">
        <f t="shared" si="4"/>
        <v>2388532</v>
      </c>
      <c r="D28" s="18">
        <f>E28+F28</f>
        <v>62976123.799999997</v>
      </c>
      <c r="E28" s="18">
        <f>'[1]MMR - BF'!M5+'[1]MMR - BF'!M6+'[1]MMR - BF'!M7+'[1]MMR - BF'!M8</f>
        <v>48314246.5</v>
      </c>
      <c r="F28" s="18">
        <f>'[1]MMR - BF'!M3</f>
        <v>14661877.299999999</v>
      </c>
      <c r="G28" s="18">
        <f>'[2]MMR - BF'!L4</f>
        <v>2388532</v>
      </c>
      <c r="H28" s="18">
        <f t="shared" si="3"/>
        <v>65364655.799999997</v>
      </c>
      <c r="I28" s="24"/>
      <c r="J28" s="24">
        <f>'[1]MMR - BF'!M6</f>
        <v>4437099.5</v>
      </c>
      <c r="K28" s="24">
        <f>'[1]MMR - BF'!M5</f>
        <v>2443139</v>
      </c>
      <c r="L28" s="24"/>
      <c r="M28" s="24"/>
      <c r="N28" s="24"/>
      <c r="O28" s="24">
        <f>'[1]MMR - BF'!M7+'[1]MMR - BF'!M8</f>
        <v>41434008</v>
      </c>
      <c r="P28" s="18">
        <f>'[1]MMR - BF'!M3</f>
        <v>14661877.299999999</v>
      </c>
      <c r="Q28" s="18"/>
      <c r="R28" s="18"/>
      <c r="S28" s="27">
        <f>'[2]MMR - BF'!L4</f>
        <v>2388532</v>
      </c>
      <c r="T28" s="23"/>
      <c r="U28" s="23"/>
      <c r="V28" s="27"/>
      <c r="W28" s="27"/>
      <c r="X28" s="27"/>
    </row>
    <row r="29" spans="1:24" ht="28.8" x14ac:dyDescent="0.3">
      <c r="A29" s="22" t="s">
        <v>46</v>
      </c>
      <c r="B29" s="23">
        <v>2019</v>
      </c>
      <c r="C29" s="18"/>
      <c r="D29" s="18">
        <f>F29</f>
        <v>93000000</v>
      </c>
      <c r="E29" s="18"/>
      <c r="F29" s="18">
        <v>93000000</v>
      </c>
      <c r="G29" s="18"/>
      <c r="H29" s="18">
        <f t="shared" si="3"/>
        <v>93000000</v>
      </c>
      <c r="I29" s="24"/>
      <c r="J29" s="24"/>
      <c r="K29" s="24"/>
      <c r="L29" s="24"/>
      <c r="M29" s="24"/>
      <c r="N29" s="24"/>
      <c r="O29" s="24"/>
      <c r="P29" s="18"/>
      <c r="Q29" s="18"/>
      <c r="R29" s="18">
        <v>93000000</v>
      </c>
      <c r="S29" s="27"/>
      <c r="T29" s="27"/>
      <c r="U29" s="27"/>
      <c r="V29" s="27"/>
      <c r="W29" s="27"/>
      <c r="X29" s="27"/>
    </row>
    <row r="30" spans="1:24" ht="43.2" x14ac:dyDescent="0.3">
      <c r="A30" s="22" t="s">
        <v>47</v>
      </c>
      <c r="B30" s="23">
        <v>2020</v>
      </c>
      <c r="C30" s="3">
        <f>G30</f>
        <v>940201286</v>
      </c>
      <c r="D30" s="18"/>
      <c r="E30" s="18"/>
      <c r="F30" s="18"/>
      <c r="G30" s="18">
        <f>'[2]IROP výzva č. 89'!H5+'[2]IROP výzva č. 89'!H6+'[2]IROP výzva č. 89'!H7+'[2]IROP výzva č. 89'!H8+'[2]IROP výzva č. 89'!H9+'[2]IROP výzva č. 89'!H10+'[2]IROP výzva č. 89'!H11+'[2]IROP výzva č. 89'!H12</f>
        <v>940201286</v>
      </c>
      <c r="H30" s="18">
        <f>G30</f>
        <v>940201286</v>
      </c>
      <c r="I30" s="24"/>
      <c r="J30" s="24"/>
      <c r="K30" s="24"/>
      <c r="L30" s="24"/>
      <c r="M30" s="24"/>
      <c r="N30" s="24"/>
      <c r="O30" s="24"/>
      <c r="P30" s="18"/>
      <c r="Q30" s="18"/>
      <c r="R30" s="18"/>
      <c r="S30" s="27"/>
      <c r="T30" s="27">
        <f>'[2]IROP výzva č. 89'!H5</f>
        <v>79623750</v>
      </c>
      <c r="U30" s="27"/>
      <c r="V30" s="27">
        <f>'[2]IROP výzva č. 89'!H6+'[2]IROP výzva č. 89'!H7+'[2]IROP výzva č. 89'!H8+'[2]IROP výzva č. 89'!H10+'[2]IROP výzva č. 89'!H11+'[2]IROP výzva č. 89'!H12</f>
        <v>778850036</v>
      </c>
      <c r="W30" s="27"/>
      <c r="X30" s="27">
        <f>'[2]IROP výzva č. 89'!H9</f>
        <v>81727500</v>
      </c>
    </row>
    <row r="31" spans="1:24" ht="43.2" x14ac:dyDescent="0.3">
      <c r="A31" s="22" t="s">
        <v>48</v>
      </c>
      <c r="B31" s="23">
        <v>2020</v>
      </c>
      <c r="C31" s="18">
        <v>215789500</v>
      </c>
      <c r="D31" s="18">
        <v>559725000</v>
      </c>
      <c r="E31" s="18"/>
      <c r="F31" s="18">
        <v>559725000</v>
      </c>
      <c r="G31" s="18">
        <v>215789500</v>
      </c>
      <c r="H31" s="18">
        <v>775514500</v>
      </c>
      <c r="I31" s="24"/>
      <c r="J31" s="24"/>
      <c r="K31" s="24"/>
      <c r="L31" s="24"/>
      <c r="M31" s="24"/>
      <c r="N31" s="24"/>
      <c r="O31" s="24"/>
      <c r="P31" s="18"/>
      <c r="Q31" s="18"/>
      <c r="R31" s="18"/>
      <c r="S31" s="27"/>
      <c r="T31" s="27">
        <v>72343500</v>
      </c>
      <c r="U31" s="27"/>
      <c r="V31" s="27"/>
      <c r="W31" s="27">
        <v>143446000</v>
      </c>
      <c r="X31" s="27"/>
    </row>
    <row r="32" spans="1:24" ht="45" customHeight="1" x14ac:dyDescent="0.3">
      <c r="A32" s="22" t="s">
        <v>29</v>
      </c>
      <c r="B32" s="23">
        <v>2020</v>
      </c>
      <c r="C32" s="18">
        <v>11532632</v>
      </c>
      <c r="D32" s="18">
        <v>22128833</v>
      </c>
      <c r="E32" s="18">
        <v>11389725</v>
      </c>
      <c r="F32" s="18">
        <v>10739108</v>
      </c>
      <c r="G32" s="18">
        <v>11532632</v>
      </c>
      <c r="H32" s="18">
        <v>33661465</v>
      </c>
      <c r="I32" s="24"/>
      <c r="J32" s="24">
        <v>2339389</v>
      </c>
      <c r="K32" s="24">
        <v>8397543</v>
      </c>
      <c r="L32" s="24"/>
      <c r="M32" s="24">
        <v>652793</v>
      </c>
      <c r="N32" s="24"/>
      <c r="O32" s="24"/>
      <c r="P32" s="18"/>
      <c r="Q32" s="18"/>
      <c r="R32" s="18">
        <v>10739108</v>
      </c>
      <c r="S32" s="27"/>
      <c r="T32" s="27">
        <v>1595599</v>
      </c>
      <c r="U32" s="27"/>
      <c r="V32" s="27"/>
      <c r="W32" s="27">
        <v>9937033</v>
      </c>
      <c r="X32" s="27"/>
    </row>
    <row r="33" spans="1:24" ht="28.8" x14ac:dyDescent="0.3">
      <c r="A33" s="22" t="s">
        <v>49</v>
      </c>
      <c r="B33" s="23">
        <v>2020</v>
      </c>
      <c r="C33" s="18">
        <v>259172663</v>
      </c>
      <c r="D33" s="18">
        <f>SUM(E33:F33)</f>
        <v>554939536</v>
      </c>
      <c r="E33" s="18">
        <v>245627772</v>
      </c>
      <c r="F33" s="18">
        <v>309311764</v>
      </c>
      <c r="G33" s="18">
        <v>259172663</v>
      </c>
      <c r="H33" s="18">
        <f>SUM(C33:D33)</f>
        <v>814112199</v>
      </c>
      <c r="I33" s="24">
        <v>16348920.75</v>
      </c>
      <c r="J33" s="24">
        <v>17899974</v>
      </c>
      <c r="K33" s="24">
        <v>99204443</v>
      </c>
      <c r="L33" s="24">
        <v>39221354</v>
      </c>
      <c r="M33" s="24">
        <v>52051964</v>
      </c>
      <c r="N33" s="24">
        <v>7734041</v>
      </c>
      <c r="O33" s="24">
        <v>13167075</v>
      </c>
      <c r="P33" s="18">
        <v>61464181</v>
      </c>
      <c r="Q33" s="18">
        <v>79263513</v>
      </c>
      <c r="R33" s="18">
        <v>10739108</v>
      </c>
      <c r="S33" s="27">
        <v>49243305</v>
      </c>
      <c r="T33" s="27"/>
      <c r="U33" s="27">
        <v>34886957</v>
      </c>
      <c r="V33" s="27">
        <v>48916453</v>
      </c>
      <c r="W33" s="27">
        <v>7321560</v>
      </c>
      <c r="X33" s="27">
        <v>118804384</v>
      </c>
    </row>
    <row r="34" spans="1:24" x14ac:dyDescent="0.3">
      <c r="A34" s="22" t="s">
        <v>34</v>
      </c>
      <c r="B34" s="23">
        <v>2020</v>
      </c>
      <c r="C34" s="18">
        <v>2550000</v>
      </c>
      <c r="D34" s="18">
        <v>7075215</v>
      </c>
      <c r="E34" s="18">
        <v>3995290</v>
      </c>
      <c r="F34" s="18">
        <v>3079925</v>
      </c>
      <c r="G34" s="18">
        <v>2550000</v>
      </c>
      <c r="H34" s="18">
        <f>SUM(C34:D34)</f>
        <v>9625215</v>
      </c>
      <c r="I34" s="24"/>
      <c r="J34" s="24">
        <v>2000000</v>
      </c>
      <c r="K34" s="24"/>
      <c r="L34" s="24">
        <v>1995290</v>
      </c>
      <c r="M34" s="24"/>
      <c r="N34" s="24"/>
      <c r="O34" s="24"/>
      <c r="P34" s="18">
        <v>1079925</v>
      </c>
      <c r="Q34" s="18">
        <v>2000000</v>
      </c>
      <c r="R34" s="18"/>
      <c r="S34" s="27"/>
      <c r="T34" s="27">
        <v>680000</v>
      </c>
      <c r="U34" s="27"/>
      <c r="V34" s="27">
        <v>1870000</v>
      </c>
      <c r="W34" s="27"/>
      <c r="X34" s="27"/>
    </row>
    <row r="35" spans="1:24" ht="28.8" x14ac:dyDescent="0.3">
      <c r="A35" s="22" t="s">
        <v>45</v>
      </c>
      <c r="B35" s="23">
        <v>2020</v>
      </c>
      <c r="C35" s="18">
        <v>116481196</v>
      </c>
      <c r="D35" s="18">
        <f>SUM(E35:F35)</f>
        <v>102858161</v>
      </c>
      <c r="E35" s="18">
        <v>53090118</v>
      </c>
      <c r="F35" s="18">
        <v>49768043</v>
      </c>
      <c r="G35" s="18">
        <v>116481196</v>
      </c>
      <c r="H35" s="18">
        <f>SUM(E35:F35:G35)</f>
        <v>219339357</v>
      </c>
      <c r="I35" s="24"/>
      <c r="J35" s="24"/>
      <c r="K35" s="24"/>
      <c r="L35" s="24">
        <v>3274050.5</v>
      </c>
      <c r="M35" s="24"/>
      <c r="N35" s="24">
        <v>6755390</v>
      </c>
      <c r="O35" s="24">
        <v>43060677</v>
      </c>
      <c r="P35" s="18">
        <v>13947202</v>
      </c>
      <c r="Q35" s="18">
        <v>19620648.335200001</v>
      </c>
      <c r="R35" s="18">
        <v>16200193</v>
      </c>
      <c r="S35" s="27">
        <v>15000630</v>
      </c>
      <c r="T35" s="27">
        <v>45495546</v>
      </c>
      <c r="U35" s="27">
        <v>21684207</v>
      </c>
      <c r="V35" s="27"/>
      <c r="W35" s="27"/>
      <c r="X35" s="27">
        <v>34300813</v>
      </c>
    </row>
    <row r="36" spans="1:24" ht="43.2" x14ac:dyDescent="0.3">
      <c r="A36" s="22" t="s">
        <v>50</v>
      </c>
      <c r="B36" s="23">
        <v>2020</v>
      </c>
      <c r="C36" s="18">
        <v>348820437</v>
      </c>
      <c r="D36" s="18">
        <f>SUM(E36:F36)</f>
        <v>358771549</v>
      </c>
      <c r="E36" s="18">
        <v>279866479</v>
      </c>
      <c r="F36" s="18">
        <v>78905070</v>
      </c>
      <c r="G36" s="18">
        <v>348820437</v>
      </c>
      <c r="H36" s="18">
        <f>SUM(C36:D36)</f>
        <v>707591986</v>
      </c>
      <c r="I36" s="24">
        <v>85147284</v>
      </c>
      <c r="J36" s="24">
        <v>48503712</v>
      </c>
      <c r="K36" s="24">
        <v>41997246</v>
      </c>
      <c r="L36" s="24"/>
      <c r="M36" s="24">
        <v>20781946</v>
      </c>
      <c r="N36" s="24">
        <v>45628226</v>
      </c>
      <c r="O36" s="24">
        <v>37808065</v>
      </c>
      <c r="P36" s="18">
        <v>63815524</v>
      </c>
      <c r="Q36" s="18">
        <v>15089546</v>
      </c>
      <c r="R36" s="18"/>
      <c r="S36" s="27">
        <v>39580410</v>
      </c>
      <c r="T36" s="27">
        <v>39600203</v>
      </c>
      <c r="U36" s="27">
        <v>62961162</v>
      </c>
      <c r="V36" s="27">
        <v>51847664</v>
      </c>
      <c r="W36" s="27">
        <v>67801932</v>
      </c>
      <c r="X36" s="27">
        <v>87029066</v>
      </c>
    </row>
    <row r="37" spans="1:24" ht="28.8" x14ac:dyDescent="0.3">
      <c r="A37" s="22" t="s">
        <v>51</v>
      </c>
      <c r="B37" s="23">
        <v>2020</v>
      </c>
      <c r="C37" s="18">
        <v>50092158</v>
      </c>
      <c r="D37" s="18">
        <f>SUM(E37:F37)</f>
        <v>184494575</v>
      </c>
      <c r="E37" s="18">
        <v>152709826</v>
      </c>
      <c r="F37" s="18">
        <v>31784749</v>
      </c>
      <c r="G37" s="18">
        <v>50092158</v>
      </c>
      <c r="H37" s="18">
        <f>SUM(C37:D37)</f>
        <v>234586733</v>
      </c>
      <c r="I37" s="24"/>
      <c r="J37" s="24">
        <v>34567480</v>
      </c>
      <c r="K37" s="24"/>
      <c r="L37" s="24">
        <v>99730500</v>
      </c>
      <c r="M37" s="24"/>
      <c r="N37" s="24"/>
      <c r="O37" s="24">
        <v>18411846</v>
      </c>
      <c r="P37" s="18"/>
      <c r="Q37" s="18">
        <v>31784749</v>
      </c>
      <c r="R37" s="18"/>
      <c r="S37" s="27"/>
      <c r="T37" s="27">
        <v>20930120</v>
      </c>
      <c r="U37" s="27"/>
      <c r="V37" s="27"/>
      <c r="W37" s="27"/>
      <c r="X37" s="27">
        <v>29162038</v>
      </c>
    </row>
    <row r="38" spans="1:24" ht="28.8" x14ac:dyDescent="0.3">
      <c r="A38" s="22" t="s">
        <v>52</v>
      </c>
      <c r="B38" s="23">
        <v>2021</v>
      </c>
      <c r="C38" s="18">
        <f>SUM(G38)</f>
        <v>73642381</v>
      </c>
      <c r="D38" s="18">
        <f>SUM(E38:F38)</f>
        <v>119518584</v>
      </c>
      <c r="E38" s="18">
        <f>SUM(I38:O38)</f>
        <v>117718239</v>
      </c>
      <c r="F38" s="18">
        <f>SUM(P38:R38)</f>
        <v>1800345</v>
      </c>
      <c r="G38" s="18">
        <f>SUM(S38:X38)</f>
        <v>73642381</v>
      </c>
      <c r="H38" s="18">
        <f>SUM(C38:D38)</f>
        <v>193160965</v>
      </c>
      <c r="I38" s="24"/>
      <c r="J38" s="24">
        <v>26674637</v>
      </c>
      <c r="K38" s="24"/>
      <c r="L38" s="24">
        <v>44686000</v>
      </c>
      <c r="M38" s="24"/>
      <c r="N38" s="24">
        <v>41037328</v>
      </c>
      <c r="O38" s="24">
        <v>5320274</v>
      </c>
      <c r="P38" s="18"/>
      <c r="Q38" s="18">
        <v>1800345</v>
      </c>
      <c r="R38" s="18"/>
      <c r="S38" s="27"/>
      <c r="T38" s="27">
        <v>23642381</v>
      </c>
      <c r="U38" s="27"/>
      <c r="V38" s="27"/>
      <c r="W38" s="27"/>
      <c r="X38" s="27">
        <v>50000000</v>
      </c>
    </row>
    <row r="39" spans="1:24" ht="28.8" x14ac:dyDescent="0.3">
      <c r="A39" s="22" t="s">
        <v>53</v>
      </c>
      <c r="B39" s="23">
        <v>2021</v>
      </c>
      <c r="C39" s="18">
        <f t="shared" ref="C39:C41" si="7">SUM(G39)</f>
        <v>68388769</v>
      </c>
      <c r="D39" s="18">
        <f t="shared" ref="D39:D41" si="8">SUM(E39:F39)</f>
        <v>180321158</v>
      </c>
      <c r="E39" s="18">
        <v>131028137</v>
      </c>
      <c r="F39" s="18">
        <v>49293021</v>
      </c>
      <c r="G39" s="18">
        <v>68388769</v>
      </c>
      <c r="H39" s="18">
        <v>248709927</v>
      </c>
      <c r="I39" s="24">
        <v>39640000</v>
      </c>
      <c r="J39" s="24"/>
      <c r="K39" s="24"/>
      <c r="L39" s="24">
        <v>25872850</v>
      </c>
      <c r="M39" s="24">
        <v>5515287</v>
      </c>
      <c r="N39" s="24"/>
      <c r="O39" s="30" t="s">
        <v>54</v>
      </c>
      <c r="P39" s="18">
        <v>49293021</v>
      </c>
      <c r="Q39" s="18"/>
      <c r="R39" s="18"/>
      <c r="S39" s="27"/>
      <c r="T39" s="27">
        <v>49227500</v>
      </c>
      <c r="U39" s="27">
        <v>19161269</v>
      </c>
      <c r="V39" s="27"/>
      <c r="W39" s="27"/>
      <c r="X39" s="27"/>
    </row>
    <row r="40" spans="1:24" x14ac:dyDescent="0.3">
      <c r="A40" s="22" t="s">
        <v>55</v>
      </c>
      <c r="B40" s="23">
        <v>2021</v>
      </c>
      <c r="C40" s="18">
        <v>2000000</v>
      </c>
      <c r="D40" s="18">
        <v>2000000</v>
      </c>
      <c r="E40" s="18">
        <v>2000000</v>
      </c>
      <c r="F40" s="18">
        <f t="shared" ref="F40" si="9">SUM(P40:R40)</f>
        <v>0</v>
      </c>
      <c r="G40" s="18">
        <v>2000000</v>
      </c>
      <c r="H40" s="18">
        <f t="shared" ref="H40:H43" si="10">SUM(C40:D40)</f>
        <v>4000000</v>
      </c>
      <c r="I40" s="24"/>
      <c r="J40" s="24"/>
      <c r="K40" s="24"/>
      <c r="L40" s="24"/>
      <c r="M40" s="24"/>
      <c r="N40" s="24">
        <v>2000000</v>
      </c>
      <c r="O40" s="24"/>
      <c r="P40" s="18"/>
      <c r="Q40" s="18"/>
      <c r="R40" s="18"/>
      <c r="S40" s="27"/>
      <c r="T40" s="27">
        <v>2000000</v>
      </c>
      <c r="U40" s="27"/>
      <c r="V40" s="27"/>
      <c r="W40" s="27"/>
      <c r="X40" s="27"/>
    </row>
    <row r="41" spans="1:24" ht="28.8" x14ac:dyDescent="0.3">
      <c r="A41" s="22" t="s">
        <v>29</v>
      </c>
      <c r="B41" s="23">
        <v>2021</v>
      </c>
      <c r="C41" s="18">
        <f t="shared" si="7"/>
        <v>7426845</v>
      </c>
      <c r="D41" s="18">
        <f t="shared" si="8"/>
        <v>15792585</v>
      </c>
      <c r="E41" s="18">
        <v>10000000</v>
      </c>
      <c r="F41" s="18">
        <v>5792585</v>
      </c>
      <c r="G41" s="18">
        <v>7426845</v>
      </c>
      <c r="H41" s="18">
        <f t="shared" si="10"/>
        <v>23219430</v>
      </c>
      <c r="I41" s="24">
        <v>10000000</v>
      </c>
      <c r="J41" s="24"/>
      <c r="K41" s="24"/>
      <c r="L41" s="24"/>
      <c r="M41" s="24"/>
      <c r="N41" s="24"/>
      <c r="O41" s="24"/>
      <c r="P41" s="18">
        <v>1160216</v>
      </c>
      <c r="Q41" s="18"/>
      <c r="R41" s="18">
        <v>4632369</v>
      </c>
      <c r="S41" s="27"/>
      <c r="T41" s="27">
        <v>1485578</v>
      </c>
      <c r="U41" s="27">
        <v>2750099</v>
      </c>
      <c r="V41" s="27">
        <v>3191168</v>
      </c>
      <c r="W41" s="27"/>
      <c r="X41" s="27"/>
    </row>
    <row r="42" spans="1:24" x14ac:dyDescent="0.3">
      <c r="A42" s="23" t="s">
        <v>56</v>
      </c>
      <c r="B42" s="23">
        <v>2021</v>
      </c>
      <c r="C42" s="18">
        <v>36680342</v>
      </c>
      <c r="D42" s="18">
        <v>11559800</v>
      </c>
      <c r="E42" s="18">
        <v>8472300</v>
      </c>
      <c r="F42" s="18">
        <v>3087500</v>
      </c>
      <c r="G42" s="18">
        <v>36680342</v>
      </c>
      <c r="H42" s="18">
        <f t="shared" si="10"/>
        <v>48240142</v>
      </c>
      <c r="I42" s="24"/>
      <c r="J42" s="24"/>
      <c r="K42" s="24"/>
      <c r="L42" s="24"/>
      <c r="M42" s="24"/>
      <c r="N42" s="24"/>
      <c r="O42" s="24"/>
      <c r="P42" s="18"/>
      <c r="Q42" s="18"/>
      <c r="R42" s="18"/>
      <c r="S42" s="27"/>
      <c r="T42" s="27"/>
      <c r="U42" s="27"/>
      <c r="V42" s="27"/>
      <c r="W42" s="27"/>
      <c r="X42" s="27"/>
    </row>
    <row r="43" spans="1:24" x14ac:dyDescent="0.3">
      <c r="A43" s="23" t="s">
        <v>57</v>
      </c>
      <c r="B43" s="23">
        <v>2021</v>
      </c>
      <c r="C43" s="18">
        <v>16523547</v>
      </c>
      <c r="D43" s="18">
        <v>16949550</v>
      </c>
      <c r="E43" s="18">
        <v>16949550</v>
      </c>
      <c r="F43" s="18">
        <v>0</v>
      </c>
      <c r="G43" s="18">
        <v>16523547</v>
      </c>
      <c r="H43" s="18">
        <f t="shared" si="10"/>
        <v>33473097</v>
      </c>
      <c r="I43" s="24"/>
      <c r="J43" s="24"/>
      <c r="K43" s="24"/>
      <c r="L43" s="24"/>
      <c r="M43" s="24"/>
      <c r="N43" s="24"/>
      <c r="O43" s="24"/>
      <c r="P43" s="18"/>
      <c r="Q43" s="18"/>
      <c r="R43" s="18"/>
      <c r="S43" s="27"/>
      <c r="T43" s="27"/>
      <c r="U43" s="27"/>
      <c r="V43" s="27"/>
      <c r="W43" s="27"/>
      <c r="X43" s="27"/>
    </row>
    <row r="44" spans="1:24" ht="28.8" x14ac:dyDescent="0.3">
      <c r="A44" s="22" t="s">
        <v>58</v>
      </c>
      <c r="B44" s="23">
        <v>2021</v>
      </c>
      <c r="C44" s="18">
        <v>12450000</v>
      </c>
      <c r="D44" s="18">
        <v>5250000</v>
      </c>
      <c r="E44" s="18">
        <v>3300000</v>
      </c>
      <c r="F44" s="18">
        <v>1950000</v>
      </c>
      <c r="G44" s="18">
        <v>12450000</v>
      </c>
      <c r="H44" s="18">
        <f t="shared" ref="H44:H47" si="11">SUM(C44:D44)</f>
        <v>17700000</v>
      </c>
      <c r="I44" s="24"/>
      <c r="J44" s="24"/>
      <c r="K44" s="24">
        <v>1500000</v>
      </c>
      <c r="L44" s="24"/>
      <c r="M44" s="24"/>
      <c r="N44" s="24"/>
      <c r="O44" s="24">
        <v>1800000</v>
      </c>
      <c r="P44" s="18">
        <v>1950000</v>
      </c>
      <c r="Q44" s="18"/>
      <c r="R44" s="18"/>
      <c r="S44" s="27">
        <v>3600000</v>
      </c>
      <c r="T44" s="27">
        <v>3000000</v>
      </c>
      <c r="U44" s="27">
        <v>3000000</v>
      </c>
      <c r="V44" s="27"/>
      <c r="W44" s="27">
        <v>2250000</v>
      </c>
      <c r="X44" s="27">
        <v>600000</v>
      </c>
    </row>
    <row r="45" spans="1:24" ht="28.8" x14ac:dyDescent="0.3">
      <c r="A45" s="22" t="s">
        <v>59</v>
      </c>
      <c r="B45" s="23">
        <v>2021</v>
      </c>
      <c r="C45" s="18">
        <v>48290538</v>
      </c>
      <c r="D45" s="18">
        <v>123213338</v>
      </c>
      <c r="E45" s="18">
        <v>80927256</v>
      </c>
      <c r="F45" s="18">
        <v>42286082</v>
      </c>
      <c r="G45" s="18">
        <v>48290538</v>
      </c>
      <c r="H45" s="18">
        <f t="shared" si="11"/>
        <v>171503876</v>
      </c>
      <c r="I45" s="24">
        <v>16045475</v>
      </c>
      <c r="J45" s="24">
        <v>4025224</v>
      </c>
      <c r="K45" s="24">
        <v>21398654</v>
      </c>
      <c r="L45" s="24">
        <v>1362311</v>
      </c>
      <c r="M45" s="24">
        <v>2703089</v>
      </c>
      <c r="N45" s="24">
        <v>9423003</v>
      </c>
      <c r="O45" s="24">
        <v>25969500</v>
      </c>
      <c r="P45" s="18">
        <v>17781766</v>
      </c>
      <c r="Q45" s="18">
        <v>11785618</v>
      </c>
      <c r="R45" s="18">
        <v>12718698</v>
      </c>
      <c r="S45" s="27">
        <v>13748529</v>
      </c>
      <c r="T45" s="27">
        <v>16907908</v>
      </c>
      <c r="U45" s="27">
        <v>7640898</v>
      </c>
      <c r="V45" s="27"/>
      <c r="W45" s="27">
        <v>326977</v>
      </c>
      <c r="X45" s="27">
        <v>9666226</v>
      </c>
    </row>
    <row r="46" spans="1:24" ht="28.8" x14ac:dyDescent="0.3">
      <c r="A46" s="22" t="s">
        <v>60</v>
      </c>
      <c r="B46" s="23">
        <v>2021</v>
      </c>
      <c r="C46" s="18">
        <v>68518638</v>
      </c>
      <c r="D46" s="18">
        <v>49358157</v>
      </c>
      <c r="E46" s="18">
        <v>22063154</v>
      </c>
      <c r="F46" s="18">
        <v>27295003</v>
      </c>
      <c r="G46" s="18">
        <v>68518638</v>
      </c>
      <c r="H46" s="18">
        <f t="shared" si="11"/>
        <v>117876795</v>
      </c>
      <c r="I46" s="24"/>
      <c r="J46" s="24"/>
      <c r="K46" s="24">
        <v>4977998</v>
      </c>
      <c r="L46" s="24">
        <v>15000000</v>
      </c>
      <c r="M46" s="24"/>
      <c r="N46" s="24"/>
      <c r="O46" s="24">
        <v>2085156</v>
      </c>
      <c r="P46" s="18"/>
      <c r="Q46" s="18">
        <v>9476821</v>
      </c>
      <c r="R46" s="18">
        <v>17818182</v>
      </c>
      <c r="S46" s="27">
        <v>5761000</v>
      </c>
      <c r="T46" s="27">
        <v>2479092</v>
      </c>
      <c r="U46" s="27">
        <v>14694567</v>
      </c>
      <c r="V46" s="27"/>
      <c r="W46" s="27"/>
      <c r="X46" s="27">
        <v>45583979</v>
      </c>
    </row>
    <row r="47" spans="1:24" ht="28.8" x14ac:dyDescent="0.3">
      <c r="A47" s="22" t="s">
        <v>61</v>
      </c>
      <c r="B47" s="23">
        <v>2022</v>
      </c>
      <c r="C47" s="18">
        <v>0</v>
      </c>
      <c r="D47" s="18">
        <f>E47+F47</f>
        <v>222622415</v>
      </c>
      <c r="E47" s="18">
        <v>0</v>
      </c>
      <c r="F47" s="18">
        <v>222622415</v>
      </c>
      <c r="G47" s="18">
        <v>0</v>
      </c>
      <c r="H47" s="18">
        <f t="shared" si="11"/>
        <v>222622415</v>
      </c>
      <c r="I47" s="24"/>
      <c r="J47" s="24"/>
      <c r="K47" s="24"/>
      <c r="L47" s="24"/>
      <c r="M47" s="24"/>
      <c r="N47" s="24"/>
      <c r="O47" s="24"/>
      <c r="P47" s="18">
        <v>73055684</v>
      </c>
      <c r="Q47" s="18"/>
      <c r="R47" s="18">
        <v>149566731</v>
      </c>
      <c r="S47" s="27"/>
      <c r="T47" s="27"/>
      <c r="U47" s="27"/>
      <c r="V47" s="27"/>
      <c r="W47" s="27"/>
      <c r="X47" s="27"/>
    </row>
    <row r="48" spans="1:24" ht="28.8" x14ac:dyDescent="0.3">
      <c r="A48" s="22" t="s">
        <v>29</v>
      </c>
      <c r="B48" s="23">
        <v>2022</v>
      </c>
      <c r="C48" s="18">
        <v>0</v>
      </c>
      <c r="D48" s="18">
        <f>E48+F48</f>
        <v>10000000</v>
      </c>
      <c r="E48" s="18">
        <v>10000000</v>
      </c>
      <c r="F48" s="18">
        <v>0</v>
      </c>
      <c r="G48" s="18">
        <v>0</v>
      </c>
      <c r="H48" s="18">
        <f>SUM(C48:D48)</f>
        <v>10000000</v>
      </c>
      <c r="I48" s="24">
        <v>10000000</v>
      </c>
      <c r="J48" s="24"/>
      <c r="K48" s="24"/>
      <c r="L48" s="24"/>
      <c r="M48" s="24"/>
      <c r="N48" s="24"/>
      <c r="O48" s="24"/>
      <c r="P48" s="18"/>
      <c r="Q48" s="18"/>
      <c r="R48" s="18"/>
      <c r="S48" s="27"/>
      <c r="T48" s="27"/>
      <c r="U48" s="27"/>
      <c r="V48" s="27"/>
      <c r="W48" s="27"/>
      <c r="X48" s="27"/>
    </row>
    <row r="49" spans="1:24" ht="28.8" x14ac:dyDescent="0.3">
      <c r="A49" s="22" t="s">
        <v>62</v>
      </c>
      <c r="B49" s="23">
        <v>2022</v>
      </c>
      <c r="C49" s="18">
        <v>16451500</v>
      </c>
      <c r="D49" s="18">
        <f>E49+F49</f>
        <v>69786630</v>
      </c>
      <c r="E49" s="18">
        <v>0</v>
      </c>
      <c r="F49" s="18">
        <v>69786630</v>
      </c>
      <c r="G49" s="18">
        <v>16451500</v>
      </c>
      <c r="H49" s="18">
        <f>SUM(C49:D49)</f>
        <v>86238130</v>
      </c>
      <c r="I49" s="24"/>
      <c r="J49" s="24"/>
      <c r="K49" s="24"/>
      <c r="L49" s="24"/>
      <c r="M49" s="24"/>
      <c r="N49" s="24"/>
      <c r="O49" s="24"/>
      <c r="P49" s="18">
        <v>37319130</v>
      </c>
      <c r="Q49" s="18"/>
      <c r="R49" s="18">
        <v>32467500</v>
      </c>
      <c r="S49" s="27"/>
      <c r="T49" s="27">
        <v>16451500</v>
      </c>
      <c r="U49" s="27"/>
      <c r="V49" s="27"/>
      <c r="W49" s="27"/>
      <c r="X49" s="27"/>
    </row>
  </sheetData>
  <autoFilter ref="A3:X49" xr:uid="{00000000-0009-0000-0000-000000000000}"/>
  <mergeCells count="2">
    <mergeCell ref="C2:D2"/>
    <mergeCell ref="E2:G2"/>
  </mergeCells>
  <pageMargins left="0.70866141732283472" right="0.70866141732283472" top="0.78740157480314965" bottom="0.78740157480314965" header="0.31496062992125984" footer="0.31496062992125984"/>
  <pageSetup paperSize="9" scale="7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Weissová Kristýna</dc:creator>
  <cp:lastModifiedBy>Weissová Kristýna</cp:lastModifiedBy>
  <dcterms:created xsi:type="dcterms:W3CDTF">2015-06-05T18:19:34Z</dcterms:created>
  <dcterms:modified xsi:type="dcterms:W3CDTF">2023-02-23T12:50:51Z</dcterms:modified>
</cp:coreProperties>
</file>